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g98SE\Projetos\TRILHA SUSPENSA - PARQUE ECOLÓGICO\ORÇAMENTO\"/>
    </mc:Choice>
  </mc:AlternateContent>
  <bookViews>
    <workbookView xWindow="-105" yWindow="-105" windowWidth="23250" windowHeight="12570" tabRatio="920" firstSheet="1" activeTab="1"/>
  </bookViews>
  <sheets>
    <sheet name="ORÇAMENTO (PLANILHA ABERTA)" sheetId="38" state="hidden" r:id="rId1"/>
    <sheet name="ORÇAMENTO" sheetId="4" r:id="rId2"/>
    <sheet name="QCI" sheetId="3" state="hidden" r:id="rId3"/>
    <sheet name="CRONOGRAMA" sheetId="35" state="hidden" r:id="rId4"/>
    <sheet name="DIM. DREN." sheetId="19" state="hidden" r:id="rId5"/>
    <sheet name="BACIAS" sheetId="20" state="hidden" r:id="rId6"/>
    <sheet name="TRILHA" sheetId="7" state="hidden" r:id="rId7"/>
    <sheet name="CALÇADA" sheetId="37" state="hidden" r:id="rId8"/>
    <sheet name="BDI" sheetId="8" state="hidden" r:id="rId9"/>
    <sheet name="COMP. SINAPI" sheetId="28" state="hidden" r:id="rId10"/>
    <sheet name="COMP. SICRO" sheetId="13" state="hidden" r:id="rId11"/>
    <sheet name="COTAÇÃO" sheetId="36" state="hidden" r:id="rId12"/>
    <sheet name="REAJUSTE" sheetId="34" state="hidden" r:id="rId13"/>
    <sheet name="MAT. BET." sheetId="14" state="hidden" r:id="rId14"/>
  </sheets>
  <externalReferences>
    <externalReference r:id="rId15"/>
    <externalReference r:id="rId16"/>
    <externalReference r:id="rId17"/>
    <externalReference r:id="rId18"/>
  </externalReferences>
  <definedNames>
    <definedName name="_Toc328556484" localSheetId="12">REAJUSTE!#REF!</definedName>
    <definedName name="_xlnm.Print_Area" localSheetId="8">BDI!$A$1:$J$50</definedName>
    <definedName name="_xlnm.Print_Area" localSheetId="7">CALÇADA!$A$1:$M$117</definedName>
    <definedName name="_xlnm.Print_Area" localSheetId="10">'COMP. SICRO'!$A$1:$H$111</definedName>
    <definedName name="_xlnm.Print_Area" localSheetId="9">'COMP. SINAPI'!$A$1:$G$63</definedName>
    <definedName name="_xlnm.Print_Area" localSheetId="11">COTAÇÃO!$A$1:$F$82</definedName>
    <definedName name="_xlnm.Print_Area" localSheetId="3">CRONOGRAMA!$A$1:$Y$56</definedName>
    <definedName name="_xlnm.Print_Area" localSheetId="4">'DIM. DREN.'!$A$2:$K$67</definedName>
    <definedName name="_xlnm.Print_Area" localSheetId="13">'MAT. BET.'!$A$1:$E$35</definedName>
    <definedName name="_xlnm.Print_Area" localSheetId="1">ORÇAMENTO!$A$2:$L$44</definedName>
    <definedName name="_xlnm.Print_Area" localSheetId="0">'ORÇAMENTO (PLANILHA ABERTA)'!$A$2:$L$46</definedName>
    <definedName name="_xlnm.Print_Area" localSheetId="12">REAJUSTE!$A$1:$E$64</definedName>
    <definedName name="_xlnm.Print_Area" localSheetId="6">TRILHA!$A$1:$M$49</definedName>
    <definedName name="matriz">[1]BDI!$Q$17:$V$21</definedName>
    <definedName name="matriz2">[1]BDI!$Q$23:$V$27</definedName>
    <definedName name="TESTE">[2]BDI!XEV:XEV*[2]BDI!XEW:XEW</definedName>
    <definedName name="_xlnm.Print_Titles" localSheetId="7">CALÇADA!$1:$3</definedName>
    <definedName name="_xlnm.Print_Titles" localSheetId="9">'COMP. SINAPI'!$1:$4</definedName>
    <definedName name="_xlnm.Print_Titles" localSheetId="11">COTAÇÃO!$1:$1</definedName>
    <definedName name="_xlnm.Print_Titles" localSheetId="4">'DIM. DREN.'!$2:$7</definedName>
    <definedName name="_xlnm.Print_Titles" localSheetId="6">TRILHA!$1:$3</definedName>
  </definedNames>
  <calcPr calcId="152511"/>
</workbook>
</file>

<file path=xl/calcChain.xml><?xml version="1.0" encoding="utf-8"?>
<calcChain xmlns="http://schemas.openxmlformats.org/spreadsheetml/2006/main">
  <c r="G12" i="4" l="1"/>
  <c r="D12" i="4" l="1"/>
  <c r="H12" i="4"/>
  <c r="L12" i="7"/>
  <c r="M12" i="7" s="1"/>
  <c r="M13" i="7" s="1"/>
  <c r="I12" i="4" l="1"/>
  <c r="J12" i="4" s="1"/>
  <c r="M33" i="7"/>
  <c r="C78" i="36"/>
  <c r="C71" i="36"/>
  <c r="C64" i="36"/>
  <c r="K8" i="35"/>
  <c r="I8" i="35"/>
  <c r="G8" i="35"/>
  <c r="E8" i="35"/>
  <c r="C8" i="35"/>
  <c r="B8" i="3"/>
  <c r="A8" i="3"/>
  <c r="B7" i="3"/>
  <c r="A7" i="3"/>
  <c r="E59" i="28" l="1"/>
  <c r="E58" i="28"/>
  <c r="E57" i="28"/>
  <c r="E56" i="28"/>
  <c r="E49" i="28"/>
  <c r="E48" i="28"/>
  <c r="E47" i="28"/>
  <c r="E46" i="28"/>
  <c r="E38" i="28"/>
  <c r="E31" i="28"/>
  <c r="E23" i="28"/>
  <c r="E16" i="28"/>
  <c r="E8" i="28"/>
  <c r="F22" i="8"/>
  <c r="M7" i="7"/>
  <c r="F11" i="36"/>
  <c r="F8" i="28" s="1"/>
  <c r="F19" i="36"/>
  <c r="F16" i="28" s="1"/>
  <c r="F27" i="36"/>
  <c r="F23" i="28" s="1"/>
  <c r="F35" i="36"/>
  <c r="F31" i="28" s="1"/>
  <c r="F43" i="36"/>
  <c r="F38" i="28" s="1"/>
  <c r="F51" i="36"/>
  <c r="F46" i="28" s="1"/>
  <c r="F59" i="36"/>
  <c r="F56" i="28" s="1"/>
  <c r="M22" i="7"/>
  <c r="M8" i="7" l="1"/>
  <c r="D10" i="4" s="1"/>
  <c r="F17" i="36"/>
  <c r="F80" i="36"/>
  <c r="F73" i="36"/>
  <c r="F66" i="36"/>
  <c r="F49" i="36"/>
  <c r="F25" i="36"/>
  <c r="E61" i="28"/>
  <c r="E60" i="28"/>
  <c r="E51" i="28"/>
  <c r="E50" i="28"/>
  <c r="E41" i="28"/>
  <c r="E40" i="28"/>
  <c r="E33" i="28"/>
  <c r="E32" i="28"/>
  <c r="E25" i="28"/>
  <c r="E24" i="28"/>
  <c r="E18" i="28"/>
  <c r="E17" i="28"/>
  <c r="E10" i="28"/>
  <c r="E9" i="28"/>
  <c r="E18" i="36"/>
  <c r="E26" i="36" s="1"/>
  <c r="E34" i="36" s="1"/>
  <c r="E42" i="36" s="1"/>
  <c r="E50" i="36" s="1"/>
  <c r="E58" i="36" s="1"/>
  <c r="D18" i="36"/>
  <c r="D26" i="36" s="1"/>
  <c r="D34" i="36" s="1"/>
  <c r="D42" i="36" s="1"/>
  <c r="D50" i="36" s="1"/>
  <c r="D58" i="36" s="1"/>
  <c r="C18" i="36"/>
  <c r="C26" i="36" s="1"/>
  <c r="C34" i="36" s="1"/>
  <c r="C42" i="36" s="1"/>
  <c r="C50" i="36" s="1"/>
  <c r="C58" i="36" s="1"/>
  <c r="B18" i="36"/>
  <c r="B26" i="36" s="1"/>
  <c r="B34" i="36" s="1"/>
  <c r="B42" i="36" s="1"/>
  <c r="B50" i="36" s="1"/>
  <c r="B58" i="36" s="1"/>
  <c r="A18" i="36"/>
  <c r="A26" i="36" s="1"/>
  <c r="A34" i="36" s="1"/>
  <c r="A42" i="36" s="1"/>
  <c r="A50" i="36" s="1"/>
  <c r="A58" i="36" s="1"/>
  <c r="E17" i="36"/>
  <c r="E25" i="36" s="1"/>
  <c r="E33" i="36" s="1"/>
  <c r="E41" i="36" s="1"/>
  <c r="E49" i="36" s="1"/>
  <c r="E57" i="36" s="1"/>
  <c r="D17" i="36"/>
  <c r="D25" i="36" s="1"/>
  <c r="D33" i="36" s="1"/>
  <c r="D41" i="36" s="1"/>
  <c r="D49" i="36" s="1"/>
  <c r="D57" i="36" s="1"/>
  <c r="C17" i="36"/>
  <c r="C25" i="36" s="1"/>
  <c r="C33" i="36" s="1"/>
  <c r="C41" i="36" s="1"/>
  <c r="C49" i="36" s="1"/>
  <c r="C57" i="36" s="1"/>
  <c r="B17" i="36"/>
  <c r="B25" i="36" s="1"/>
  <c r="B33" i="36" s="1"/>
  <c r="B41" i="36" s="1"/>
  <c r="B49" i="36" s="1"/>
  <c r="B57" i="36" s="1"/>
  <c r="A17" i="36"/>
  <c r="A25" i="36" s="1"/>
  <c r="A33" i="36" s="1"/>
  <c r="A41" i="36" s="1"/>
  <c r="A49" i="36" s="1"/>
  <c r="A57" i="36" s="1"/>
  <c r="E16" i="36"/>
  <c r="E24" i="36" s="1"/>
  <c r="E32" i="36" s="1"/>
  <c r="E40" i="36" s="1"/>
  <c r="E48" i="36" s="1"/>
  <c r="E56" i="36" s="1"/>
  <c r="D16" i="36"/>
  <c r="D24" i="36" s="1"/>
  <c r="D32" i="36" s="1"/>
  <c r="D40" i="36" s="1"/>
  <c r="D48" i="36" s="1"/>
  <c r="D56" i="36" s="1"/>
  <c r="C16" i="36"/>
  <c r="C24" i="36" s="1"/>
  <c r="C32" i="36" s="1"/>
  <c r="C40" i="36" s="1"/>
  <c r="C48" i="36" s="1"/>
  <c r="C56" i="36" s="1"/>
  <c r="C63" i="36" s="1"/>
  <c r="B16" i="36"/>
  <c r="B24" i="36" s="1"/>
  <c r="B32" i="36" s="1"/>
  <c r="B40" i="36" s="1"/>
  <c r="B48" i="36" s="1"/>
  <c r="B56" i="36" s="1"/>
  <c r="A16" i="36"/>
  <c r="A24" i="36" s="1"/>
  <c r="A32" i="36" s="1"/>
  <c r="A40" i="36" s="1"/>
  <c r="A48" i="36" s="1"/>
  <c r="A56" i="36" s="1"/>
  <c r="E15" i="36"/>
  <c r="E23" i="36" s="1"/>
  <c r="E31" i="36" s="1"/>
  <c r="E39" i="36" s="1"/>
  <c r="E47" i="36" s="1"/>
  <c r="E55" i="36" s="1"/>
  <c r="D15" i="36"/>
  <c r="D23" i="36" s="1"/>
  <c r="D31" i="36" s="1"/>
  <c r="D39" i="36" s="1"/>
  <c r="D47" i="36" s="1"/>
  <c r="D55" i="36" s="1"/>
  <c r="C15" i="36"/>
  <c r="C23" i="36" s="1"/>
  <c r="C31" i="36" s="1"/>
  <c r="C39" i="36" s="1"/>
  <c r="C47" i="36" s="1"/>
  <c r="C55" i="36" s="1"/>
  <c r="B15" i="36"/>
  <c r="B23" i="36" s="1"/>
  <c r="B31" i="36" s="1"/>
  <c r="B39" i="36" s="1"/>
  <c r="B47" i="36" s="1"/>
  <c r="B55" i="36" s="1"/>
  <c r="A15" i="36"/>
  <c r="A23" i="36" s="1"/>
  <c r="A31" i="36" s="1"/>
  <c r="A39" i="36" s="1"/>
  <c r="A47" i="36" s="1"/>
  <c r="A55" i="36" s="1"/>
  <c r="A53" i="36"/>
  <c r="A45" i="36"/>
  <c r="A37" i="36"/>
  <c r="A29" i="36"/>
  <c r="A21" i="36"/>
  <c r="A13" i="36"/>
  <c r="A5" i="36"/>
  <c r="B54" i="28"/>
  <c r="B44" i="28"/>
  <c r="B36" i="28"/>
  <c r="B28" i="28"/>
  <c r="B21" i="28"/>
  <c r="B13" i="28"/>
  <c r="B5" i="28"/>
  <c r="A46" i="7"/>
  <c r="A41" i="7"/>
  <c r="A36" i="7"/>
  <c r="A31" i="7"/>
  <c r="A26" i="7"/>
  <c r="A20" i="7"/>
  <c r="A15" i="7"/>
  <c r="F59" i="28" l="1"/>
  <c r="G59" i="28" s="1"/>
  <c r="F49" i="28"/>
  <c r="G49" i="28" s="1"/>
  <c r="F58" i="28"/>
  <c r="G58" i="28" s="1"/>
  <c r="F48" i="28"/>
  <c r="G48" i="28" s="1"/>
  <c r="F57" i="28"/>
  <c r="F47" i="28"/>
  <c r="G47" i="28" s="1"/>
  <c r="G57" i="28"/>
  <c r="G33" i="28"/>
  <c r="G32" i="28"/>
  <c r="G30" i="28"/>
  <c r="G40" i="28"/>
  <c r="G41" i="28"/>
  <c r="G39" i="28"/>
  <c r="G10" i="28"/>
  <c r="G9" i="28"/>
  <c r="G7" i="28"/>
  <c r="G16" i="28"/>
  <c r="G18" i="28"/>
  <c r="G17" i="28"/>
  <c r="G15" i="28"/>
  <c r="G61" i="28"/>
  <c r="G60" i="28"/>
  <c r="G51" i="28"/>
  <c r="G50" i="28"/>
  <c r="J48" i="7"/>
  <c r="G25" i="28"/>
  <c r="G24" i="28"/>
  <c r="G23" i="28"/>
  <c r="G31" i="28" l="1"/>
  <c r="G34" i="28" s="1"/>
  <c r="G16" i="4" s="1"/>
  <c r="G19" i="28"/>
  <c r="G14" i="4" s="1"/>
  <c r="G38" i="28" l="1"/>
  <c r="G42" i="28" s="1"/>
  <c r="G17" i="4" s="1"/>
  <c r="G42" i="38"/>
  <c r="G41" i="38"/>
  <c r="D41" i="38"/>
  <c r="D42" i="38" s="1"/>
  <c r="G40" i="38"/>
  <c r="G39" i="38"/>
  <c r="D39" i="38"/>
  <c r="D40" i="38" s="1"/>
  <c r="H38" i="38"/>
  <c r="G38" i="38"/>
  <c r="H37" i="38"/>
  <c r="G37" i="38"/>
  <c r="D37" i="38"/>
  <c r="D38" i="38" s="1"/>
  <c r="H36" i="38"/>
  <c r="G36" i="38"/>
  <c r="H35" i="38"/>
  <c r="G35" i="38"/>
  <c r="D35" i="38"/>
  <c r="D36" i="38" s="1"/>
  <c r="G30" i="38"/>
  <c r="I30" i="38" s="1"/>
  <c r="G28" i="38"/>
  <c r="I28" i="38" s="1"/>
  <c r="G24" i="38"/>
  <c r="G23" i="38"/>
  <c r="D16" i="38"/>
  <c r="D15" i="38"/>
  <c r="D14" i="38"/>
  <c r="D13" i="38"/>
  <c r="D10" i="38"/>
  <c r="B4" i="38"/>
  <c r="J3" i="38"/>
  <c r="H3" i="38"/>
  <c r="C3" i="38"/>
  <c r="B3" i="38"/>
  <c r="I38" i="38" l="1"/>
  <c r="J38" i="38" s="1"/>
  <c r="G56" i="28"/>
  <c r="G46" i="28"/>
  <c r="I37" i="38"/>
  <c r="J37" i="38" s="1"/>
  <c r="I35" i="38"/>
  <c r="J35" i="38" s="1"/>
  <c r="I36" i="38"/>
  <c r="J36" i="38" s="1"/>
  <c r="G62" i="28" l="1"/>
  <c r="G19" i="4" s="1"/>
  <c r="G52" i="28"/>
  <c r="G18" i="4" s="1"/>
  <c r="G31" i="38"/>
  <c r="I31" i="38" s="1"/>
  <c r="G29" i="38"/>
  <c r="I29" i="38" s="1"/>
  <c r="H43" i="7" l="1"/>
  <c r="H48" i="7" s="1"/>
  <c r="F43" i="7"/>
  <c r="F48" i="7" s="1"/>
  <c r="E43" i="7"/>
  <c r="E48" i="7" s="1"/>
  <c r="D43" i="7"/>
  <c r="D48" i="7" s="1"/>
  <c r="C43" i="7"/>
  <c r="C48" i="7" s="1"/>
  <c r="B43" i="7"/>
  <c r="B48" i="7" s="1"/>
  <c r="A43" i="7"/>
  <c r="A48" i="7" s="1"/>
  <c r="G28" i="7"/>
  <c r="G43" i="7" s="1"/>
  <c r="G48" i="7" s="1"/>
  <c r="G22" i="7" l="1"/>
  <c r="G17" i="7" s="1"/>
  <c r="B22" i="7"/>
  <c r="B17" i="7" s="1"/>
  <c r="B38" i="7" s="1"/>
  <c r="B33" i="7" s="1"/>
  <c r="F22" i="7"/>
  <c r="F17" i="7" s="1"/>
  <c r="F38" i="7" s="1"/>
  <c r="F33" i="7" s="1"/>
  <c r="A22" i="7"/>
  <c r="A17" i="7" s="1"/>
  <c r="A38" i="7" s="1"/>
  <c r="A33" i="7" s="1"/>
  <c r="E22" i="7"/>
  <c r="E17" i="7" s="1"/>
  <c r="E38" i="7" s="1"/>
  <c r="E33" i="7" s="1"/>
  <c r="C22" i="7"/>
  <c r="C17" i="7" s="1"/>
  <c r="C38" i="7" s="1"/>
  <c r="C33" i="7" s="1"/>
  <c r="H22" i="7"/>
  <c r="H17" i="7" s="1"/>
  <c r="H38" i="7" s="1"/>
  <c r="H33" i="7" s="1"/>
  <c r="E23" i="7"/>
  <c r="G23" i="7"/>
  <c r="G38" i="7"/>
  <c r="G33" i="7" s="1"/>
  <c r="M43" i="7"/>
  <c r="M48" i="7"/>
  <c r="D22" i="7"/>
  <c r="D17" i="7" s="1"/>
  <c r="H23" i="7" l="1"/>
  <c r="B23" i="7"/>
  <c r="F23" i="7"/>
  <c r="A23" i="7"/>
  <c r="C23" i="7"/>
  <c r="D23" i="7"/>
  <c r="M23" i="7" s="1"/>
  <c r="M24" i="7" l="1"/>
  <c r="D14" i="4" s="1"/>
  <c r="M100" i="37"/>
  <c r="M117" i="37"/>
  <c r="H116" i="37"/>
  <c r="E115" i="37"/>
  <c r="A115" i="37"/>
  <c r="E114" i="37"/>
  <c r="D114" i="37"/>
  <c r="A114" i="37"/>
  <c r="H113" i="37"/>
  <c r="E113" i="37"/>
  <c r="D113" i="37"/>
  <c r="A113" i="37"/>
  <c r="H112" i="37"/>
  <c r="E111" i="37"/>
  <c r="A111" i="37"/>
  <c r="E110" i="37"/>
  <c r="D110" i="37"/>
  <c r="A110" i="37"/>
  <c r="H109" i="37"/>
  <c r="E109" i="37"/>
  <c r="D109" i="37"/>
  <c r="A109" i="37"/>
  <c r="H108" i="37"/>
  <c r="E108" i="37"/>
  <c r="D108" i="37"/>
  <c r="A108" i="37"/>
  <c r="H107" i="37"/>
  <c r="E106" i="37"/>
  <c r="A106" i="37"/>
  <c r="E105" i="37"/>
  <c r="D105" i="37"/>
  <c r="A105" i="37"/>
  <c r="H104" i="37"/>
  <c r="E104" i="37"/>
  <c r="D104" i="37"/>
  <c r="A104" i="37"/>
  <c r="I90" i="37"/>
  <c r="K90" i="37" s="1"/>
  <c r="M90" i="37" s="1"/>
  <c r="H36" i="37"/>
  <c r="F36" i="37"/>
  <c r="F116" i="37" s="1"/>
  <c r="E36" i="37"/>
  <c r="E116" i="37" s="1"/>
  <c r="D36" i="37"/>
  <c r="M36" i="37" s="1"/>
  <c r="C36" i="37"/>
  <c r="C116" i="37" s="1"/>
  <c r="B36" i="37"/>
  <c r="B116" i="37" s="1"/>
  <c r="A36" i="37"/>
  <c r="A116" i="37" s="1"/>
  <c r="H35" i="37"/>
  <c r="H115" i="37" s="1"/>
  <c r="F35" i="37"/>
  <c r="F115" i="37" s="1"/>
  <c r="E35" i="37"/>
  <c r="D35" i="37"/>
  <c r="D115" i="37" s="1"/>
  <c r="C35" i="37"/>
  <c r="C115" i="37" s="1"/>
  <c r="B35" i="37"/>
  <c r="B115" i="37" s="1"/>
  <c r="A35" i="37"/>
  <c r="H34" i="37"/>
  <c r="H114" i="37" s="1"/>
  <c r="F34" i="37"/>
  <c r="F114" i="37" s="1"/>
  <c r="E34" i="37"/>
  <c r="D34" i="37"/>
  <c r="C34" i="37"/>
  <c r="C114" i="37" s="1"/>
  <c r="B34" i="37"/>
  <c r="B114" i="37" s="1"/>
  <c r="A34" i="37"/>
  <c r="M34" i="37" s="1"/>
  <c r="H33" i="37"/>
  <c r="F33" i="37"/>
  <c r="F113" i="37" s="1"/>
  <c r="E33" i="37"/>
  <c r="D33" i="37"/>
  <c r="C33" i="37"/>
  <c r="C113" i="37" s="1"/>
  <c r="B33" i="37"/>
  <c r="B113" i="37" s="1"/>
  <c r="A33" i="37"/>
  <c r="H32" i="37"/>
  <c r="F32" i="37"/>
  <c r="F112" i="37" s="1"/>
  <c r="E32" i="37"/>
  <c r="E112" i="37" s="1"/>
  <c r="D32" i="37"/>
  <c r="D112" i="37" s="1"/>
  <c r="C32" i="37"/>
  <c r="C112" i="37" s="1"/>
  <c r="B32" i="37"/>
  <c r="B112" i="37" s="1"/>
  <c r="A32" i="37"/>
  <c r="M32" i="37" s="1"/>
  <c r="H31" i="37"/>
  <c r="H111" i="37" s="1"/>
  <c r="F31" i="37"/>
  <c r="F111" i="37" s="1"/>
  <c r="E31" i="37"/>
  <c r="D31" i="37"/>
  <c r="D111" i="37" s="1"/>
  <c r="C31" i="37"/>
  <c r="C111" i="37" s="1"/>
  <c r="B31" i="37"/>
  <c r="B111" i="37" s="1"/>
  <c r="A31" i="37"/>
  <c r="M31" i="37" s="1"/>
  <c r="H30" i="37"/>
  <c r="H110" i="37" s="1"/>
  <c r="F30" i="37"/>
  <c r="F110" i="37" s="1"/>
  <c r="E30" i="37"/>
  <c r="D30" i="37"/>
  <c r="M30" i="37" s="1"/>
  <c r="C30" i="37"/>
  <c r="C110" i="37" s="1"/>
  <c r="B30" i="37"/>
  <c r="B110" i="37" s="1"/>
  <c r="A30" i="37"/>
  <c r="H29" i="37"/>
  <c r="F29" i="37"/>
  <c r="F109" i="37" s="1"/>
  <c r="E29" i="37"/>
  <c r="D29" i="37"/>
  <c r="C29" i="37"/>
  <c r="C109" i="37" s="1"/>
  <c r="B29" i="37"/>
  <c r="B109" i="37" s="1"/>
  <c r="A29" i="37"/>
  <c r="M29" i="37" s="1"/>
  <c r="H28" i="37"/>
  <c r="G28" i="37"/>
  <c r="G108" i="37" s="1"/>
  <c r="F28" i="37"/>
  <c r="F108" i="37" s="1"/>
  <c r="E28" i="37"/>
  <c r="D28" i="37"/>
  <c r="C28" i="37"/>
  <c r="C108" i="37" s="1"/>
  <c r="B28" i="37"/>
  <c r="B108" i="37" s="1"/>
  <c r="A28" i="37"/>
  <c r="H27" i="37"/>
  <c r="F27" i="37"/>
  <c r="F107" i="37" s="1"/>
  <c r="E27" i="37"/>
  <c r="E107" i="37" s="1"/>
  <c r="D27" i="37"/>
  <c r="D107" i="37" s="1"/>
  <c r="C27" i="37"/>
  <c r="C107" i="37" s="1"/>
  <c r="B27" i="37"/>
  <c r="B107" i="37" s="1"/>
  <c r="A27" i="37"/>
  <c r="A107" i="37" s="1"/>
  <c r="H26" i="37"/>
  <c r="H106" i="37" s="1"/>
  <c r="F26" i="37"/>
  <c r="F106" i="37" s="1"/>
  <c r="E26" i="37"/>
  <c r="D26" i="37"/>
  <c r="D106" i="37" s="1"/>
  <c r="C26" i="37"/>
  <c r="C106" i="37" s="1"/>
  <c r="B26" i="37"/>
  <c r="B106" i="37" s="1"/>
  <c r="A26" i="37"/>
  <c r="H25" i="37"/>
  <c r="H105" i="37" s="1"/>
  <c r="F25" i="37"/>
  <c r="F105" i="37" s="1"/>
  <c r="E25" i="37"/>
  <c r="D25" i="37"/>
  <c r="C25" i="37"/>
  <c r="C105" i="37" s="1"/>
  <c r="B25" i="37"/>
  <c r="B105" i="37" s="1"/>
  <c r="A25" i="37"/>
  <c r="H24" i="37"/>
  <c r="G24" i="37"/>
  <c r="G104" i="37" s="1"/>
  <c r="F24" i="37"/>
  <c r="F104" i="37" s="1"/>
  <c r="E24" i="37"/>
  <c r="D24" i="37"/>
  <c r="C24" i="37"/>
  <c r="C104" i="37" s="1"/>
  <c r="B24" i="37"/>
  <c r="B104" i="37" s="1"/>
  <c r="A24" i="37"/>
  <c r="H42" i="37"/>
  <c r="H59" i="37" s="1"/>
  <c r="H72" i="37" s="1"/>
  <c r="H43" i="37"/>
  <c r="H88" i="37" s="1"/>
  <c r="H44" i="37"/>
  <c r="H61" i="37" s="1"/>
  <c r="H74" i="37" s="1"/>
  <c r="H45" i="37"/>
  <c r="H62" i="37" s="1"/>
  <c r="H75" i="37" s="1"/>
  <c r="H46" i="37"/>
  <c r="H92" i="37" s="1"/>
  <c r="H47" i="37"/>
  <c r="H93" i="37" s="1"/>
  <c r="H48" i="37"/>
  <c r="H65" i="37" s="1"/>
  <c r="H78" i="37" s="1"/>
  <c r="H49" i="37"/>
  <c r="H66" i="37" s="1"/>
  <c r="H79" i="37" s="1"/>
  <c r="H50" i="37"/>
  <c r="H96" i="37" s="1"/>
  <c r="H51" i="37"/>
  <c r="H97" i="37" s="1"/>
  <c r="H52" i="37"/>
  <c r="H69" i="37" s="1"/>
  <c r="H82" i="37" s="1"/>
  <c r="H53" i="37"/>
  <c r="H70" i="37" s="1"/>
  <c r="H83" i="37" s="1"/>
  <c r="H41" i="37"/>
  <c r="J53" i="37"/>
  <c r="J70" i="37" s="1"/>
  <c r="J83" i="37" s="1"/>
  <c r="J52" i="37"/>
  <c r="J69" i="37" s="1"/>
  <c r="J82" i="37" s="1"/>
  <c r="J51" i="37"/>
  <c r="J68" i="37" s="1"/>
  <c r="J81" i="37" s="1"/>
  <c r="J50" i="37"/>
  <c r="J67" i="37" s="1"/>
  <c r="J80" i="37" s="1"/>
  <c r="J49" i="37"/>
  <c r="J66" i="37" s="1"/>
  <c r="J79" i="37" s="1"/>
  <c r="J48" i="37"/>
  <c r="J65" i="37" s="1"/>
  <c r="J78" i="37" s="1"/>
  <c r="J47" i="37"/>
  <c r="J64" i="37" s="1"/>
  <c r="J77" i="37" s="1"/>
  <c r="J46" i="37"/>
  <c r="J63" i="37" s="1"/>
  <c r="J76" i="37" s="1"/>
  <c r="J45" i="37"/>
  <c r="J62" i="37" s="1"/>
  <c r="J75" i="37" s="1"/>
  <c r="J44" i="37"/>
  <c r="J61" i="37" s="1"/>
  <c r="J74" i="37" s="1"/>
  <c r="J43" i="37"/>
  <c r="J60" i="37" s="1"/>
  <c r="J73" i="37" s="1"/>
  <c r="J42" i="37"/>
  <c r="J59" i="37" s="1"/>
  <c r="J72" i="37" s="1"/>
  <c r="J41" i="37"/>
  <c r="J58" i="37" s="1"/>
  <c r="J71" i="37" s="1"/>
  <c r="F53" i="37"/>
  <c r="F70" i="37" s="1"/>
  <c r="F83" i="37" s="1"/>
  <c r="E53" i="37"/>
  <c r="E70" i="37" s="1"/>
  <c r="E83" i="37" s="1"/>
  <c r="D53" i="37"/>
  <c r="D99" i="37" s="1"/>
  <c r="C53" i="37"/>
  <c r="C70" i="37" s="1"/>
  <c r="C83" i="37" s="1"/>
  <c r="B53" i="37"/>
  <c r="B70" i="37" s="1"/>
  <c r="B83" i="37" s="1"/>
  <c r="A53" i="37"/>
  <c r="A70" i="37" s="1"/>
  <c r="A83" i="37" s="1"/>
  <c r="F52" i="37"/>
  <c r="F69" i="37" s="1"/>
  <c r="F82" i="37" s="1"/>
  <c r="E52" i="37"/>
  <c r="E69" i="37" s="1"/>
  <c r="E82" i="37" s="1"/>
  <c r="D52" i="37"/>
  <c r="D69" i="37" s="1"/>
  <c r="D82" i="37" s="1"/>
  <c r="C52" i="37"/>
  <c r="C69" i="37" s="1"/>
  <c r="C82" i="37" s="1"/>
  <c r="B52" i="37"/>
  <c r="B69" i="37" s="1"/>
  <c r="B82" i="37" s="1"/>
  <c r="A52" i="37"/>
  <c r="A69" i="37" s="1"/>
  <c r="A82" i="37" s="1"/>
  <c r="F51" i="37"/>
  <c r="F97" i="37" s="1"/>
  <c r="E51" i="37"/>
  <c r="E68" i="37" s="1"/>
  <c r="E81" i="37" s="1"/>
  <c r="D51" i="37"/>
  <c r="D68" i="37" s="1"/>
  <c r="D81" i="37" s="1"/>
  <c r="C51" i="37"/>
  <c r="C68" i="37" s="1"/>
  <c r="C81" i="37" s="1"/>
  <c r="B51" i="37"/>
  <c r="B68" i="37" s="1"/>
  <c r="B81" i="37" s="1"/>
  <c r="A51" i="37"/>
  <c r="A68" i="37" s="1"/>
  <c r="A81" i="37" s="1"/>
  <c r="F50" i="37"/>
  <c r="F67" i="37" s="1"/>
  <c r="F80" i="37" s="1"/>
  <c r="E50" i="37"/>
  <c r="E67" i="37" s="1"/>
  <c r="E80" i="37" s="1"/>
  <c r="D50" i="37"/>
  <c r="D67" i="37" s="1"/>
  <c r="D80" i="37" s="1"/>
  <c r="C50" i="37"/>
  <c r="C67" i="37" s="1"/>
  <c r="C80" i="37" s="1"/>
  <c r="B50" i="37"/>
  <c r="B67" i="37" s="1"/>
  <c r="B80" i="37" s="1"/>
  <c r="A50" i="37"/>
  <c r="A67" i="37" s="1"/>
  <c r="A80" i="37" s="1"/>
  <c r="F49" i="37"/>
  <c r="F66" i="37" s="1"/>
  <c r="F79" i="37" s="1"/>
  <c r="E49" i="37"/>
  <c r="E66" i="37" s="1"/>
  <c r="E79" i="37" s="1"/>
  <c r="D49" i="37"/>
  <c r="D95" i="37" s="1"/>
  <c r="C49" i="37"/>
  <c r="C66" i="37" s="1"/>
  <c r="C79" i="37" s="1"/>
  <c r="B49" i="37"/>
  <c r="B66" i="37" s="1"/>
  <c r="B79" i="37" s="1"/>
  <c r="A49" i="37"/>
  <c r="A66" i="37" s="1"/>
  <c r="A79" i="37" s="1"/>
  <c r="F48" i="37"/>
  <c r="F65" i="37" s="1"/>
  <c r="E48" i="37"/>
  <c r="E65" i="37" s="1"/>
  <c r="E78" i="37" s="1"/>
  <c r="D48" i="37"/>
  <c r="D65" i="37" s="1"/>
  <c r="D78" i="37" s="1"/>
  <c r="C48" i="37"/>
  <c r="C65" i="37" s="1"/>
  <c r="C78" i="37" s="1"/>
  <c r="B48" i="37"/>
  <c r="B65" i="37" s="1"/>
  <c r="B78" i="37" s="1"/>
  <c r="A48" i="37"/>
  <c r="A65" i="37" s="1"/>
  <c r="A78" i="37" s="1"/>
  <c r="F47" i="37"/>
  <c r="F93" i="37" s="1"/>
  <c r="E47" i="37"/>
  <c r="E64" i="37" s="1"/>
  <c r="E77" i="37" s="1"/>
  <c r="D47" i="37"/>
  <c r="D64" i="37" s="1"/>
  <c r="D77" i="37" s="1"/>
  <c r="C47" i="37"/>
  <c r="C64" i="37" s="1"/>
  <c r="C77" i="37" s="1"/>
  <c r="B47" i="37"/>
  <c r="B64" i="37" s="1"/>
  <c r="B77" i="37" s="1"/>
  <c r="A47" i="37"/>
  <c r="A64" i="37" s="1"/>
  <c r="A77" i="37" s="1"/>
  <c r="F46" i="37"/>
  <c r="F63" i="37" s="1"/>
  <c r="F76" i="37" s="1"/>
  <c r="E46" i="37"/>
  <c r="E63" i="37" s="1"/>
  <c r="E76" i="37" s="1"/>
  <c r="D46" i="37"/>
  <c r="D63" i="37" s="1"/>
  <c r="D76" i="37" s="1"/>
  <c r="C46" i="37"/>
  <c r="C63" i="37" s="1"/>
  <c r="C76" i="37" s="1"/>
  <c r="B46" i="37"/>
  <c r="B63" i="37" s="1"/>
  <c r="B76" i="37" s="1"/>
  <c r="A46" i="37"/>
  <c r="A92" i="37" s="1"/>
  <c r="G45" i="37"/>
  <c r="G62" i="37" s="1"/>
  <c r="G75" i="37" s="1"/>
  <c r="F45" i="37"/>
  <c r="F62" i="37" s="1"/>
  <c r="E45" i="37"/>
  <c r="E62" i="37" s="1"/>
  <c r="E75" i="37" s="1"/>
  <c r="D45" i="37"/>
  <c r="C45" i="37"/>
  <c r="C62" i="37" s="1"/>
  <c r="C75" i="37" s="1"/>
  <c r="B45" i="37"/>
  <c r="B62" i="37" s="1"/>
  <c r="B75" i="37" s="1"/>
  <c r="A45" i="37"/>
  <c r="A62" i="37" s="1"/>
  <c r="A75" i="37" s="1"/>
  <c r="F44" i="37"/>
  <c r="F61" i="37" s="1"/>
  <c r="F74" i="37" s="1"/>
  <c r="E44" i="37"/>
  <c r="E61" i="37" s="1"/>
  <c r="E74" i="37" s="1"/>
  <c r="D44" i="37"/>
  <c r="D61" i="37" s="1"/>
  <c r="D74" i="37" s="1"/>
  <c r="C44" i="37"/>
  <c r="B44" i="37"/>
  <c r="B61" i="37" s="1"/>
  <c r="B74" i="37" s="1"/>
  <c r="A44" i="37"/>
  <c r="A61" i="37" s="1"/>
  <c r="A74" i="37" s="1"/>
  <c r="F43" i="37"/>
  <c r="F60" i="37" s="1"/>
  <c r="F73" i="37" s="1"/>
  <c r="E43" i="37"/>
  <c r="E60" i="37" s="1"/>
  <c r="E73" i="37" s="1"/>
  <c r="D43" i="37"/>
  <c r="D60" i="37" s="1"/>
  <c r="D73" i="37" s="1"/>
  <c r="C43" i="37"/>
  <c r="C60" i="37" s="1"/>
  <c r="C73" i="37" s="1"/>
  <c r="B43" i="37"/>
  <c r="B60" i="37" s="1"/>
  <c r="B73" i="37" s="1"/>
  <c r="A43" i="37"/>
  <c r="A60" i="37" s="1"/>
  <c r="A73" i="37" s="1"/>
  <c r="F42" i="37"/>
  <c r="F59" i="37" s="1"/>
  <c r="F72" i="37" s="1"/>
  <c r="E42" i="37"/>
  <c r="E59" i="37" s="1"/>
  <c r="E72" i="37" s="1"/>
  <c r="D42" i="37"/>
  <c r="D59" i="37" s="1"/>
  <c r="D72" i="37" s="1"/>
  <c r="C42" i="37"/>
  <c r="C59" i="37" s="1"/>
  <c r="C72" i="37" s="1"/>
  <c r="B42" i="37"/>
  <c r="B59" i="37" s="1"/>
  <c r="B72" i="37" s="1"/>
  <c r="A42" i="37"/>
  <c r="G41" i="37"/>
  <c r="G58" i="37" s="1"/>
  <c r="G71" i="37" s="1"/>
  <c r="F41" i="37"/>
  <c r="F58" i="37" s="1"/>
  <c r="F71" i="37" s="1"/>
  <c r="E41" i="37"/>
  <c r="E58" i="37" s="1"/>
  <c r="E71" i="37" s="1"/>
  <c r="D41" i="37"/>
  <c r="D58" i="37" s="1"/>
  <c r="D71" i="37" s="1"/>
  <c r="C41" i="37"/>
  <c r="C58" i="37" s="1"/>
  <c r="C71" i="37" s="1"/>
  <c r="B41" i="37"/>
  <c r="B58" i="37" s="1"/>
  <c r="B71" i="37" s="1"/>
  <c r="A41" i="37"/>
  <c r="A58" i="37" s="1"/>
  <c r="A71" i="37" s="1"/>
  <c r="I18" i="37"/>
  <c r="K18" i="37" s="1"/>
  <c r="M18" i="37" s="1"/>
  <c r="I16" i="37"/>
  <c r="K16" i="37" s="1"/>
  <c r="M16" i="37" s="1"/>
  <c r="I17" i="37"/>
  <c r="K17" i="37" s="1"/>
  <c r="M17" i="37" s="1"/>
  <c r="I15" i="37"/>
  <c r="K15" i="37" s="1"/>
  <c r="M15" i="37" s="1"/>
  <c r="I14" i="37"/>
  <c r="K14" i="37" s="1"/>
  <c r="M14" i="37" s="1"/>
  <c r="I13" i="37"/>
  <c r="K13" i="37" s="1"/>
  <c r="M13" i="37" s="1"/>
  <c r="I12" i="37"/>
  <c r="K12" i="37" s="1"/>
  <c r="M12" i="37" s="1"/>
  <c r="G7" i="37"/>
  <c r="G42" i="37" s="1"/>
  <c r="G59" i="37" s="1"/>
  <c r="G72" i="37" s="1"/>
  <c r="I7" i="37"/>
  <c r="K7" i="37" s="1"/>
  <c r="M7" i="37" s="1"/>
  <c r="I9" i="37"/>
  <c r="K9" i="37" s="1"/>
  <c r="M9" i="37" s="1"/>
  <c r="G11" i="37"/>
  <c r="G46" i="37" s="1"/>
  <c r="G63" i="37" s="1"/>
  <c r="G76" i="37" s="1"/>
  <c r="M17" i="7" l="1"/>
  <c r="M18" i="7" s="1"/>
  <c r="D13" i="4" s="1"/>
  <c r="D38" i="7"/>
  <c r="A112" i="37"/>
  <c r="D116" i="37"/>
  <c r="I116" i="37" s="1"/>
  <c r="K116" i="37" s="1"/>
  <c r="M116" i="37" s="1"/>
  <c r="H60" i="37"/>
  <c r="H73" i="37" s="1"/>
  <c r="I106" i="37"/>
  <c r="K106" i="37" s="1"/>
  <c r="M106" i="37" s="1"/>
  <c r="H63" i="37"/>
  <c r="H76" i="37" s="1"/>
  <c r="E90" i="37"/>
  <c r="H64" i="37"/>
  <c r="H77" i="37" s="1"/>
  <c r="H68" i="37"/>
  <c r="H81" i="37" s="1"/>
  <c r="B90" i="37"/>
  <c r="A63" i="37"/>
  <c r="A76" i="37" s="1"/>
  <c r="I76" i="37" s="1"/>
  <c r="K76" i="37" s="1"/>
  <c r="M76" i="37" s="1"/>
  <c r="I25" i="37"/>
  <c r="M25" i="37" s="1"/>
  <c r="E89" i="37"/>
  <c r="E92" i="37"/>
  <c r="E96" i="37"/>
  <c r="A96" i="37"/>
  <c r="H67" i="37"/>
  <c r="H80" i="37" s="1"/>
  <c r="A88" i="37"/>
  <c r="A91" i="37"/>
  <c r="A94" i="37"/>
  <c r="A98" i="37"/>
  <c r="E88" i="37"/>
  <c r="E91" i="37"/>
  <c r="E94" i="37"/>
  <c r="E98" i="37"/>
  <c r="A95" i="37"/>
  <c r="E95" i="37"/>
  <c r="A97" i="37"/>
  <c r="E97" i="37"/>
  <c r="A99" i="37"/>
  <c r="I28" i="37"/>
  <c r="M28" i="37" s="1"/>
  <c r="B88" i="37"/>
  <c r="B89" i="37"/>
  <c r="F89" i="37"/>
  <c r="B91" i="37"/>
  <c r="B92" i="37"/>
  <c r="F92" i="37"/>
  <c r="B93" i="37"/>
  <c r="B94" i="37"/>
  <c r="F94" i="37"/>
  <c r="B95" i="37"/>
  <c r="F95" i="37"/>
  <c r="B96" i="37"/>
  <c r="F96" i="37"/>
  <c r="B97" i="37"/>
  <c r="B98" i="37"/>
  <c r="F98" i="37"/>
  <c r="B99" i="37"/>
  <c r="F99" i="37"/>
  <c r="A93" i="37"/>
  <c r="E99" i="37"/>
  <c r="I27" i="37"/>
  <c r="M27" i="37" s="1"/>
  <c r="C88" i="37"/>
  <c r="C91" i="37"/>
  <c r="G91" i="37"/>
  <c r="C92" i="37"/>
  <c r="G92" i="37"/>
  <c r="C93" i="37"/>
  <c r="C94" i="37"/>
  <c r="C95" i="37"/>
  <c r="C96" i="37"/>
  <c r="C97" i="37"/>
  <c r="C98" i="37"/>
  <c r="C99" i="37"/>
  <c r="I88" i="37"/>
  <c r="K88" i="37" s="1"/>
  <c r="M88" i="37" s="1"/>
  <c r="E93" i="37"/>
  <c r="I26" i="37"/>
  <c r="M26" i="37" s="1"/>
  <c r="H89" i="37"/>
  <c r="H91" i="37"/>
  <c r="D92" i="37"/>
  <c r="I108" i="37" s="1"/>
  <c r="K108" i="37" s="1"/>
  <c r="M108" i="37" s="1"/>
  <c r="D93" i="37"/>
  <c r="D94" i="37"/>
  <c r="H94" i="37"/>
  <c r="H95" i="37"/>
  <c r="D96" i="37"/>
  <c r="D97" i="37"/>
  <c r="D98" i="37"/>
  <c r="H98" i="37"/>
  <c r="H99" i="37"/>
  <c r="I47" i="37"/>
  <c r="K47" i="37" s="1"/>
  <c r="M47" i="37" s="1"/>
  <c r="I51" i="37"/>
  <c r="K51" i="37" s="1"/>
  <c r="M51" i="37" s="1"/>
  <c r="G12" i="37"/>
  <c r="I24" i="37"/>
  <c r="M24" i="37" s="1"/>
  <c r="G25" i="37"/>
  <c r="G105" i="37" s="1"/>
  <c r="G29" i="37"/>
  <c r="G109" i="37" s="1"/>
  <c r="I42" i="37"/>
  <c r="K42" i="37" s="1"/>
  <c r="M42" i="37" s="1"/>
  <c r="I65" i="37"/>
  <c r="K65" i="37" s="1"/>
  <c r="M65" i="37" s="1"/>
  <c r="F78" i="37"/>
  <c r="F75" i="37"/>
  <c r="A59" i="37"/>
  <c r="A72" i="37" s="1"/>
  <c r="I72" i="37" s="1"/>
  <c r="K72" i="37" s="1"/>
  <c r="M72" i="37" s="1"/>
  <c r="I44" i="37"/>
  <c r="K44" i="37" s="1"/>
  <c r="M44" i="37" s="1"/>
  <c r="I45" i="37"/>
  <c r="K45" i="37" s="1"/>
  <c r="M45" i="37" s="1"/>
  <c r="I46" i="37"/>
  <c r="K46" i="37" s="1"/>
  <c r="M46" i="37" s="1"/>
  <c r="I50" i="37"/>
  <c r="K50" i="37" s="1"/>
  <c r="M50" i="37" s="1"/>
  <c r="F64" i="37"/>
  <c r="F77" i="37" s="1"/>
  <c r="I77" i="37" s="1"/>
  <c r="K77" i="37" s="1"/>
  <c r="M77" i="37" s="1"/>
  <c r="F68" i="37"/>
  <c r="I43" i="37"/>
  <c r="K43" i="37" s="1"/>
  <c r="M43" i="37" s="1"/>
  <c r="G8" i="37"/>
  <c r="I49" i="37"/>
  <c r="K49" i="37" s="1"/>
  <c r="M49" i="37" s="1"/>
  <c r="I53" i="37"/>
  <c r="K53" i="37" s="1"/>
  <c r="M53" i="37" s="1"/>
  <c r="C61" i="37"/>
  <c r="C74" i="37" s="1"/>
  <c r="I74" i="37" s="1"/>
  <c r="K74" i="37" s="1"/>
  <c r="M74" i="37" s="1"/>
  <c r="I48" i="37"/>
  <c r="K48" i="37" s="1"/>
  <c r="M48" i="37" s="1"/>
  <c r="I52" i="37"/>
  <c r="K52" i="37" s="1"/>
  <c r="M52" i="37" s="1"/>
  <c r="D62" i="37"/>
  <c r="D75" i="37" s="1"/>
  <c r="D66" i="37"/>
  <c r="D79" i="37" s="1"/>
  <c r="D70" i="37"/>
  <c r="D83" i="37" s="1"/>
  <c r="I63" i="37"/>
  <c r="K63" i="37" s="1"/>
  <c r="M63" i="37" s="1"/>
  <c r="I67" i="37"/>
  <c r="K67" i="37" s="1"/>
  <c r="M67" i="37" s="1"/>
  <c r="I58" i="37"/>
  <c r="K58" i="37" s="1"/>
  <c r="M58" i="37" s="1"/>
  <c r="I59" i="37"/>
  <c r="K59" i="37" s="1"/>
  <c r="M59" i="37" s="1"/>
  <c r="I60" i="37"/>
  <c r="K60" i="37" s="1"/>
  <c r="M60" i="37" s="1"/>
  <c r="I73" i="37"/>
  <c r="K73" i="37" s="1"/>
  <c r="M73" i="37" s="1"/>
  <c r="I69" i="37"/>
  <c r="K69" i="37" s="1"/>
  <c r="M69" i="37" s="1"/>
  <c r="I70" i="37"/>
  <c r="K70" i="37" s="1"/>
  <c r="M70" i="37" s="1"/>
  <c r="I71" i="37"/>
  <c r="K71" i="37" s="1"/>
  <c r="M71" i="37" s="1"/>
  <c r="G47" i="37"/>
  <c r="M38" i="7" l="1"/>
  <c r="M39" i="7" s="1"/>
  <c r="D17" i="4" s="1"/>
  <c r="D33" i="7"/>
  <c r="M34" i="7" s="1"/>
  <c r="D16" i="4" s="1"/>
  <c r="I105" i="37"/>
  <c r="K105" i="37" s="1"/>
  <c r="M105" i="37" s="1"/>
  <c r="I104" i="37"/>
  <c r="K104" i="37" s="1"/>
  <c r="M104" i="37" s="1"/>
  <c r="I107" i="37"/>
  <c r="K107" i="37" s="1"/>
  <c r="M107" i="37" s="1"/>
  <c r="I109" i="37"/>
  <c r="K109" i="37" s="1"/>
  <c r="M109" i="37" s="1"/>
  <c r="K95" i="37"/>
  <c r="M95" i="37" s="1"/>
  <c r="I115" i="37"/>
  <c r="K115" i="37" s="1"/>
  <c r="M115" i="37" s="1"/>
  <c r="I111" i="37"/>
  <c r="K111" i="37" s="1"/>
  <c r="M111" i="37" s="1"/>
  <c r="K98" i="37"/>
  <c r="M98" i="37" s="1"/>
  <c r="I114" i="37"/>
  <c r="K114" i="37" s="1"/>
  <c r="M114" i="37" s="1"/>
  <c r="K94" i="37"/>
  <c r="M94" i="37" s="1"/>
  <c r="I110" i="37"/>
  <c r="K110" i="37" s="1"/>
  <c r="M110" i="37" s="1"/>
  <c r="H90" i="37"/>
  <c r="I113" i="37"/>
  <c r="K113" i="37" s="1"/>
  <c r="M113" i="37" s="1"/>
  <c r="I112" i="37"/>
  <c r="K112" i="37" s="1"/>
  <c r="M112" i="37" s="1"/>
  <c r="K96" i="37"/>
  <c r="M96" i="37" s="1"/>
  <c r="I89" i="37"/>
  <c r="K89" i="37" s="1"/>
  <c r="M89" i="37" s="1"/>
  <c r="K92" i="37"/>
  <c r="M92" i="37" s="1"/>
  <c r="I91" i="37"/>
  <c r="K91" i="37" s="1"/>
  <c r="M91" i="37" s="1"/>
  <c r="K97" i="37"/>
  <c r="M97" i="37" s="1"/>
  <c r="G64" i="37"/>
  <c r="G77" i="37" s="1"/>
  <c r="G93" i="37"/>
  <c r="I64" i="37"/>
  <c r="K64" i="37" s="1"/>
  <c r="M64" i="37" s="1"/>
  <c r="K93" i="37"/>
  <c r="M93" i="37" s="1"/>
  <c r="K99" i="37"/>
  <c r="M99" i="37" s="1"/>
  <c r="I61" i="37"/>
  <c r="K61" i="37" s="1"/>
  <c r="M61" i="37" s="1"/>
  <c r="G9" i="37"/>
  <c r="G26" i="37"/>
  <c r="G106" i="37" s="1"/>
  <c r="G13" i="37"/>
  <c r="G30" i="37"/>
  <c r="G110" i="37" s="1"/>
  <c r="I75" i="37"/>
  <c r="K75" i="37" s="1"/>
  <c r="M75" i="37" s="1"/>
  <c r="G43" i="37"/>
  <c r="I66" i="37"/>
  <c r="K66" i="37" s="1"/>
  <c r="M66" i="37" s="1"/>
  <c r="I68" i="37"/>
  <c r="K68" i="37" s="1"/>
  <c r="M68" i="37" s="1"/>
  <c r="F81" i="37"/>
  <c r="I62" i="37"/>
  <c r="K62" i="37" s="1"/>
  <c r="M62" i="37" s="1"/>
  <c r="G60" i="37" l="1"/>
  <c r="G73" i="37" s="1"/>
  <c r="G88" i="37"/>
  <c r="G31" i="37"/>
  <c r="G111" i="37" s="1"/>
  <c r="G14" i="37"/>
  <c r="G48" i="37"/>
  <c r="G44" i="37"/>
  <c r="G27" i="37"/>
  <c r="G107" i="37" s="1"/>
  <c r="G61" i="37" l="1"/>
  <c r="G74" i="37" s="1"/>
  <c r="G89" i="37"/>
  <c r="G65" i="37"/>
  <c r="G78" i="37" s="1"/>
  <c r="G94" i="37"/>
  <c r="G32" i="37"/>
  <c r="G112" i="37" s="1"/>
  <c r="G15" i="37"/>
  <c r="G49" i="37"/>
  <c r="B3" i="14"/>
  <c r="B3" i="34"/>
  <c r="B3" i="36"/>
  <c r="B3" i="28"/>
  <c r="D6" i="8"/>
  <c r="D3" i="37"/>
  <c r="M35" i="37" s="1"/>
  <c r="B4" i="4"/>
  <c r="B3" i="3"/>
  <c r="B3" i="35"/>
  <c r="G90" i="37" l="1"/>
  <c r="G66" i="37"/>
  <c r="G79" i="37" s="1"/>
  <c r="G95" i="37"/>
  <c r="G33" i="37"/>
  <c r="G113" i="37" s="1"/>
  <c r="G50" i="37"/>
  <c r="G16" i="37"/>
  <c r="D3" i="36"/>
  <c r="D2" i="36"/>
  <c r="B2" i="36"/>
  <c r="E2" i="28"/>
  <c r="C3" i="28"/>
  <c r="C2" i="28"/>
  <c r="B2" i="28"/>
  <c r="G67" i="37" l="1"/>
  <c r="G80" i="37" s="1"/>
  <c r="G96" i="37"/>
  <c r="G34" i="37"/>
  <c r="G114" i="37" s="1"/>
  <c r="G17" i="37"/>
  <c r="G51" i="37"/>
  <c r="D34" i="38" l="1"/>
  <c r="G68" i="37"/>
  <c r="G81" i="37" s="1"/>
  <c r="G97" i="37"/>
  <c r="G35" i="37"/>
  <c r="G115" i="37" s="1"/>
  <c r="G18" i="37"/>
  <c r="G52" i="37"/>
  <c r="G69" i="37" l="1"/>
  <c r="G82" i="37" s="1"/>
  <c r="G98" i="37"/>
  <c r="G53" i="37"/>
  <c r="G36" i="37"/>
  <c r="G116" i="37" s="1"/>
  <c r="G70" i="37" l="1"/>
  <c r="G83" i="37" s="1"/>
  <c r="G99" i="37"/>
  <c r="I11" i="37"/>
  <c r="I10" i="37"/>
  <c r="I8" i="37"/>
  <c r="I6" i="37"/>
  <c r="H58" i="37" l="1"/>
  <c r="H71" i="37" s="1"/>
  <c r="K8" i="37"/>
  <c r="M8" i="37" s="1"/>
  <c r="I79" i="37" l="1"/>
  <c r="K11" i="37" l="1"/>
  <c r="M11" i="37" s="1"/>
  <c r="I81" i="37" l="1"/>
  <c r="K81" i="37" s="1"/>
  <c r="M81" i="37" s="1"/>
  <c r="K10" i="37" l="1"/>
  <c r="M10" i="37" s="1"/>
  <c r="D2" i="37"/>
  <c r="I33" i="37" s="1"/>
  <c r="M33" i="37" s="1"/>
  <c r="M37" i="37" s="1"/>
  <c r="M2" i="37"/>
  <c r="K2" i="37"/>
  <c r="I2" i="37"/>
  <c r="K6" i="37"/>
  <c r="M6" i="37" s="1"/>
  <c r="M19" i="37" l="1"/>
  <c r="M20" i="37" s="1"/>
  <c r="I83" i="37"/>
  <c r="K83" i="37" s="1"/>
  <c r="M83" i="37" s="1"/>
  <c r="I41" i="37"/>
  <c r="K41" i="37" s="1"/>
  <c r="M41" i="37" s="1"/>
  <c r="K79" i="37"/>
  <c r="M79" i="37" s="1"/>
  <c r="I80" i="37" l="1"/>
  <c r="K80" i="37" s="1"/>
  <c r="M80" i="37" s="1"/>
  <c r="I78" i="37"/>
  <c r="K78" i="37" s="1"/>
  <c r="M78" i="37" s="1"/>
  <c r="M54" i="37"/>
  <c r="I82" i="37" l="1"/>
  <c r="K82" i="37" s="1"/>
  <c r="M82" i="37" s="1"/>
  <c r="M84" i="37" l="1"/>
  <c r="D33" i="34" l="1"/>
  <c r="D32" i="34"/>
  <c r="D31" i="34"/>
  <c r="D30" i="34"/>
  <c r="D29" i="34"/>
  <c r="D28" i="34"/>
  <c r="D27" i="34"/>
  <c r="D26" i="34"/>
  <c r="D25" i="34"/>
  <c r="D24" i="34"/>
  <c r="D23" i="34"/>
  <c r="D21" i="34"/>
  <c r="D20" i="34"/>
  <c r="D19" i="34"/>
  <c r="D18" i="34"/>
  <c r="D17" i="34"/>
  <c r="D16" i="34"/>
  <c r="D15" i="34"/>
  <c r="D14" i="34"/>
  <c r="D13" i="34"/>
  <c r="D12" i="34"/>
  <c r="D11" i="34"/>
  <c r="D9" i="34"/>
  <c r="D8" i="34"/>
  <c r="D7" i="34"/>
  <c r="D6" i="34"/>
  <c r="E33" i="34" l="1"/>
  <c r="E32" i="34"/>
  <c r="E31" i="34"/>
  <c r="E30" i="34"/>
  <c r="E29" i="34"/>
  <c r="E28" i="34"/>
  <c r="E27" i="34"/>
  <c r="E26" i="34"/>
  <c r="E25" i="34"/>
  <c r="E24" i="34"/>
  <c r="E23" i="34"/>
  <c r="E22" i="34"/>
  <c r="E21" i="34"/>
  <c r="E20" i="34"/>
  <c r="E19" i="34"/>
  <c r="E18" i="34"/>
  <c r="E17" i="34"/>
  <c r="E16" i="34"/>
  <c r="E15" i="34"/>
  <c r="E14" i="34"/>
  <c r="E13" i="34"/>
  <c r="E12" i="34"/>
  <c r="E11" i="34"/>
  <c r="E10" i="34"/>
  <c r="E9" i="34"/>
  <c r="E8" i="34"/>
  <c r="E7" i="34"/>
  <c r="E6" i="34"/>
  <c r="F2" i="36" l="1"/>
  <c r="G26" i="28" l="1"/>
  <c r="G21" i="38" s="1"/>
  <c r="G8" i="28"/>
  <c r="G11" i="28" s="1"/>
  <c r="G13" i="4" s="1"/>
  <c r="G15" i="4" l="1"/>
  <c r="E8" i="8"/>
  <c r="D8" i="8"/>
  <c r="E6" i="8"/>
  <c r="J3" i="4"/>
  <c r="H3" i="4"/>
  <c r="C3" i="4"/>
  <c r="B3" i="4"/>
  <c r="N2" i="35"/>
  <c r="R2" i="35"/>
  <c r="V2" i="35"/>
  <c r="B2" i="35"/>
  <c r="A17" i="35"/>
  <c r="A16" i="35"/>
  <c r="A15" i="35"/>
  <c r="A14" i="35"/>
  <c r="A13" i="35"/>
  <c r="A12" i="35"/>
  <c r="A11" i="35"/>
  <c r="D11" i="38" l="1"/>
  <c r="C7" i="35"/>
  <c r="H2" i="3"/>
  <c r="F2" i="3"/>
  <c r="D2" i="3"/>
  <c r="B2" i="3"/>
  <c r="D2" i="14"/>
  <c r="C3" i="14"/>
  <c r="C2" i="14"/>
  <c r="B2" i="14"/>
  <c r="E2" i="34"/>
  <c r="C3" i="34"/>
  <c r="C2" i="34"/>
  <c r="B2" i="34"/>
  <c r="M3" i="7"/>
  <c r="J4" i="38" s="1"/>
  <c r="M3" i="37" l="1"/>
  <c r="G2" i="28"/>
  <c r="F3" i="36"/>
  <c r="H6" i="8"/>
  <c r="J4" i="4"/>
  <c r="V3" i="35"/>
  <c r="H3" i="3"/>
  <c r="D3" i="14"/>
  <c r="E3" i="34"/>
  <c r="D33" i="38" l="1"/>
  <c r="E19" i="13" l="1"/>
  <c r="E18" i="13"/>
  <c r="F30" i="8" l="1"/>
  <c r="H29" i="13"/>
  <c r="H28" i="13"/>
  <c r="H23" i="13"/>
  <c r="G19" i="13"/>
  <c r="G18" i="13"/>
  <c r="G9" i="13"/>
  <c r="G11" i="13" s="1"/>
  <c r="G102" i="13"/>
  <c r="H36" i="13"/>
  <c r="H31" i="13"/>
  <c r="H30" i="13"/>
  <c r="G10" i="13"/>
  <c r="H6" i="13"/>
  <c r="H10" i="4" l="1"/>
  <c r="I10" i="4" s="1"/>
  <c r="J10" i="4" s="1"/>
  <c r="J9" i="4" s="1"/>
  <c r="F7" i="3" s="1"/>
  <c r="H16" i="4"/>
  <c r="I16" i="4" s="1"/>
  <c r="J16" i="4" s="1"/>
  <c r="H19" i="4"/>
  <c r="I19" i="4" s="1"/>
  <c r="H42" i="38"/>
  <c r="I42" i="38" s="1"/>
  <c r="J42" i="38" s="1"/>
  <c r="H25" i="38"/>
  <c r="I25" i="38" s="1"/>
  <c r="H20" i="38"/>
  <c r="I20" i="38" s="1"/>
  <c r="H16" i="38"/>
  <c r="I16" i="38" s="1"/>
  <c r="J16" i="38" s="1"/>
  <c r="H14" i="38"/>
  <c r="I14" i="38" s="1"/>
  <c r="J14" i="38" s="1"/>
  <c r="H11" i="38"/>
  <c r="I11" i="38" s="1"/>
  <c r="J11" i="38" s="1"/>
  <c r="H40" i="38"/>
  <c r="I40" i="38" s="1"/>
  <c r="J40" i="38" s="1"/>
  <c r="H34" i="38"/>
  <c r="I34" i="38" s="1"/>
  <c r="J34" i="38" s="1"/>
  <c r="H24" i="38"/>
  <c r="I24" i="38" s="1"/>
  <c r="H19" i="38"/>
  <c r="I19" i="38" s="1"/>
  <c r="H10" i="38"/>
  <c r="I10" i="38" s="1"/>
  <c r="J10" i="38" s="1"/>
  <c r="H41" i="38"/>
  <c r="I41" i="38" s="1"/>
  <c r="J41" i="38" s="1"/>
  <c r="H22" i="38"/>
  <c r="I22" i="38" s="1"/>
  <c r="H18" i="38"/>
  <c r="I18" i="38" s="1"/>
  <c r="H15" i="38"/>
  <c r="I15" i="38" s="1"/>
  <c r="J15" i="38" s="1"/>
  <c r="H13" i="38"/>
  <c r="I13" i="38" s="1"/>
  <c r="J13" i="38" s="1"/>
  <c r="J12" i="38" s="1"/>
  <c r="H39" i="38"/>
  <c r="I39" i="38" s="1"/>
  <c r="J39" i="38" s="1"/>
  <c r="H33" i="38"/>
  <c r="I33" i="38" s="1"/>
  <c r="J33" i="38" s="1"/>
  <c r="J32" i="38" s="1"/>
  <c r="H26" i="38"/>
  <c r="I26" i="38" s="1"/>
  <c r="H23" i="38"/>
  <c r="I23" i="38" s="1"/>
  <c r="H21" i="38"/>
  <c r="I21" i="38" s="1"/>
  <c r="H13" i="4"/>
  <c r="H14" i="4"/>
  <c r="I14" i="4" s="1"/>
  <c r="J14" i="4" s="1"/>
  <c r="H17" i="4"/>
  <c r="I17" i="4"/>
  <c r="H18" i="4"/>
  <c r="I18" i="4" s="1"/>
  <c r="H15" i="4"/>
  <c r="I15" i="4" s="1"/>
  <c r="H32" i="13"/>
  <c r="H7" i="13"/>
  <c r="G12" i="13" s="1"/>
  <c r="H13" i="13" s="1"/>
  <c r="J9" i="38" l="1"/>
  <c r="A1" i="7"/>
  <c r="M49" i="7" l="1"/>
  <c r="D21" i="38" l="1"/>
  <c r="D22" i="38" s="1"/>
  <c r="J22" i="38" s="1"/>
  <c r="D19" i="4"/>
  <c r="J19" i="4" s="1"/>
  <c r="J21" i="38" l="1"/>
  <c r="D24" i="38"/>
  <c r="J24" i="38" s="1"/>
  <c r="E132" i="13"/>
  <c r="E57" i="13"/>
  <c r="E135" i="13"/>
  <c r="E130" i="13"/>
  <c r="E97" i="13"/>
  <c r="D25" i="38" l="1"/>
  <c r="E136" i="13"/>
  <c r="E58" i="13"/>
  <c r="E17" i="13"/>
  <c r="G17" i="13" s="1"/>
  <c r="E131" i="13"/>
  <c r="E16" i="13"/>
  <c r="G16" i="13" s="1"/>
  <c r="L28" i="7" l="1"/>
  <c r="M28" i="7" s="1"/>
  <c r="M29" i="7" s="1"/>
  <c r="J25" i="38"/>
  <c r="D26" i="38"/>
  <c r="J26" i="38" s="1"/>
  <c r="G20" i="13"/>
  <c r="H21" i="13" s="1"/>
  <c r="G25" i="13" s="1"/>
  <c r="H37" i="13" s="1"/>
  <c r="H6" i="19"/>
  <c r="H141" i="13"/>
  <c r="G134" i="13"/>
  <c r="G133" i="13"/>
  <c r="G97" i="13"/>
  <c r="G98" i="13" s="1"/>
  <c r="G58" i="13"/>
  <c r="G57" i="13"/>
  <c r="H66" i="13"/>
  <c r="H72" i="13"/>
  <c r="H67" i="13"/>
  <c r="G51" i="13"/>
  <c r="G52" i="13" s="1"/>
  <c r="H48" i="13"/>
  <c r="H47" i="13"/>
  <c r="H46" i="13"/>
  <c r="D18" i="38" l="1"/>
  <c r="J18" i="38" s="1"/>
  <c r="D15" i="4"/>
  <c r="H68" i="13"/>
  <c r="G59" i="13"/>
  <c r="H60" i="13" s="1"/>
  <c r="H49" i="13"/>
  <c r="G53" i="13" s="1"/>
  <c r="H54" i="13" s="1"/>
  <c r="G63" i="13" l="1"/>
  <c r="H73" i="13" s="1"/>
  <c r="I13" i="4" l="1"/>
  <c r="G12" i="20" l="1"/>
  <c r="G14" i="20" s="1"/>
  <c r="G11" i="20"/>
  <c r="A10" i="35" l="1"/>
  <c r="H184" i="13"/>
  <c r="G91" i="13" l="1"/>
  <c r="G92" i="13" s="1"/>
  <c r="H88" i="13"/>
  <c r="H87" i="13"/>
  <c r="H86" i="13"/>
  <c r="H106" i="13" l="1"/>
  <c r="H110" i="13"/>
  <c r="H89" i="13"/>
  <c r="G93" i="13" s="1"/>
  <c r="H94" i="13" s="1"/>
  <c r="H99" i="13" s="1"/>
  <c r="H111" i="13" s="1"/>
  <c r="H151" i="13" l="1"/>
  <c r="H150" i="13"/>
  <c r="H149" i="13"/>
  <c r="H148" i="13"/>
  <c r="C152" i="13" l="1"/>
  <c r="G132" i="13"/>
  <c r="H185" i="13"/>
  <c r="H142" i="13"/>
  <c r="H143" i="13"/>
  <c r="H144" i="13"/>
  <c r="G131" i="13"/>
  <c r="G135" i="13"/>
  <c r="G136" i="13"/>
  <c r="G130" i="13"/>
  <c r="H118" i="13"/>
  <c r="H119" i="13"/>
  <c r="H120" i="13"/>
  <c r="H121" i="13"/>
  <c r="H180" i="13"/>
  <c r="H181" i="13" s="1"/>
  <c r="G166" i="13"/>
  <c r="G167" i="13" s="1"/>
  <c r="H162" i="13"/>
  <c r="H161" i="13"/>
  <c r="H160" i="13"/>
  <c r="H153" i="13" l="1"/>
  <c r="H163" i="13"/>
  <c r="G168" i="13" s="1"/>
  <c r="H169" i="13" s="1"/>
  <c r="G137" i="13"/>
  <c r="G6" i="20" l="1"/>
  <c r="F6" i="20"/>
  <c r="G5" i="20"/>
  <c r="C10" i="19" s="1"/>
  <c r="F5" i="20"/>
  <c r="E44" i="19"/>
  <c r="I44" i="19" s="1"/>
  <c r="F40" i="19"/>
  <c r="H40" i="19" s="1"/>
  <c r="I40" i="19" s="1"/>
  <c r="C40" i="19"/>
  <c r="E14" i="19"/>
  <c r="I14" i="19" l="1"/>
  <c r="K40" i="19"/>
  <c r="F10" i="19"/>
  <c r="H10" i="19" s="1"/>
  <c r="I10" i="19" s="1"/>
  <c r="K10" i="19" s="1"/>
  <c r="J15" i="4" l="1"/>
  <c r="M44" i="7" l="1"/>
  <c r="D19" i="38" l="1"/>
  <c r="D20" i="38" s="1"/>
  <c r="J20" i="38" s="1"/>
  <c r="D18" i="4"/>
  <c r="J18" i="4" s="1"/>
  <c r="J19" i="38" l="1"/>
  <c r="D23" i="38"/>
  <c r="J23" i="38" s="1"/>
  <c r="J17" i="4"/>
  <c r="J13" i="4"/>
  <c r="J11" i="4" s="1"/>
  <c r="D28" i="38"/>
  <c r="D30" i="38"/>
  <c r="J17" i="38" l="1"/>
  <c r="D29" i="38"/>
  <c r="J29" i="38" s="1"/>
  <c r="J28" i="38"/>
  <c r="D31" i="38"/>
  <c r="J31" i="38" s="1"/>
  <c r="J30" i="38"/>
  <c r="J20" i="4" l="1"/>
  <c r="F8" i="3"/>
  <c r="H8" i="3" s="1"/>
  <c r="J27" i="38"/>
  <c r="J43" i="38" s="1"/>
  <c r="J46" i="38" s="1"/>
  <c r="J49" i="38" s="1"/>
  <c r="H140" i="13"/>
  <c r="H145" i="13" s="1"/>
  <c r="G124" i="13"/>
  <c r="G125" i="13" s="1"/>
  <c r="H117" i="13"/>
  <c r="H122" i="13" s="1"/>
  <c r="G126" i="13" l="1"/>
  <c r="H127" i="13" s="1"/>
  <c r="H138" i="13" s="1"/>
  <c r="H154" i="13" s="1"/>
  <c r="E176" i="13" s="1"/>
  <c r="G176" i="13" s="1"/>
  <c r="G177" i="13" s="1"/>
  <c r="H178" i="13" s="1"/>
  <c r="H186" i="13" l="1"/>
  <c r="H188" i="13" s="1"/>
  <c r="A7" i="35" l="1"/>
  <c r="A8" i="35" l="1"/>
  <c r="A9" i="35"/>
  <c r="H7" i="3" l="1"/>
  <c r="E37" i="3" l="1"/>
  <c r="J43" i="4" l="1"/>
  <c r="F37" i="3" l="1"/>
  <c r="H37" i="3" l="1"/>
  <c r="J25" i="35"/>
  <c r="J28" i="35" s="1"/>
  <c r="F25" i="35"/>
  <c r="F28" i="35" s="1"/>
  <c r="H25" i="35"/>
  <c r="H28" i="35" s="1"/>
  <c r="D25" i="35"/>
  <c r="D28" i="35" s="1"/>
  <c r="B25" i="35"/>
  <c r="B28" i="35" s="1"/>
  <c r="H23" i="35" l="1"/>
  <c r="I8" i="3"/>
  <c r="E23" i="35"/>
  <c r="D23" i="35"/>
  <c r="I7" i="3"/>
  <c r="B23" i="35"/>
  <c r="C23" i="35"/>
  <c r="K23" i="35"/>
  <c r="G23" i="35"/>
  <c r="J23" i="35"/>
  <c r="F23" i="35"/>
  <c r="I23" i="35"/>
  <c r="I37" i="3" l="1"/>
</calcChain>
</file>

<file path=xl/sharedStrings.xml><?xml version="1.0" encoding="utf-8"?>
<sst xmlns="http://schemas.openxmlformats.org/spreadsheetml/2006/main" count="1580" uniqueCount="553">
  <si>
    <t>ORÇAMENTO</t>
  </si>
  <si>
    <t>Nº do Item</t>
  </si>
  <si>
    <t>Descrição</t>
  </si>
  <si>
    <t>Unidade</t>
  </si>
  <si>
    <t>Quantidade</t>
  </si>
  <si>
    <t>Valores</t>
  </si>
  <si>
    <t>Unitário sem BDI</t>
  </si>
  <si>
    <t>BDI</t>
  </si>
  <si>
    <t>Total</t>
  </si>
  <si>
    <t>Fonte</t>
  </si>
  <si>
    <t>Referência de Custo</t>
  </si>
  <si>
    <t>Unitário com BDI</t>
  </si>
  <si>
    <t>1.1</t>
  </si>
  <si>
    <t>un.</t>
  </si>
  <si>
    <t>m³</t>
  </si>
  <si>
    <t>m</t>
  </si>
  <si>
    <t>PREFEITURA MUNICIPAL DE MARACAJÁ</t>
  </si>
  <si>
    <t>m²</t>
  </si>
  <si>
    <t>2.1</t>
  </si>
  <si>
    <t>2.2</t>
  </si>
  <si>
    <t>3.1</t>
  </si>
  <si>
    <t>3.2</t>
  </si>
  <si>
    <t>3.4</t>
  </si>
  <si>
    <t>4.3</t>
  </si>
  <si>
    <t>TOTAL:</t>
  </si>
  <si>
    <t>QCI - QUADRO DE COMPOSIÇÃO DO INVESTIMENTO</t>
  </si>
  <si>
    <t>Outras Fontes</t>
  </si>
  <si>
    <t>INC. %</t>
  </si>
  <si>
    <t>Mês 01</t>
  </si>
  <si>
    <t>No mês</t>
  </si>
  <si>
    <t>Acum.</t>
  </si>
  <si>
    <t>Ítem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</si>
  <si>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</si>
  <si>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</si>
  <si>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</si>
  <si>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</si>
  <si>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</si>
  <si>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</si>
  <si>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</si>
  <si>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</si>
  <si>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</si>
  <si>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</si>
  <si>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</si>
  <si>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TOTAL</t>
  </si>
  <si>
    <t>Recurso</t>
  </si>
  <si>
    <t>C. Fin.</t>
  </si>
  <si>
    <t>C. Fis.</t>
  </si>
  <si>
    <t>Outros F.</t>
  </si>
  <si>
    <t>TOTAL (R$)</t>
  </si>
  <si>
    <t>-</t>
  </si>
  <si>
    <t>3.3</t>
  </si>
  <si>
    <t>3.5</t>
  </si>
  <si>
    <t>3.6</t>
  </si>
  <si>
    <t>4.1</t>
  </si>
  <si>
    <t>FOLHA  :  01 / 01</t>
  </si>
  <si>
    <t>tc</t>
  </si>
  <si>
    <t>Largura (m)</t>
  </si>
  <si>
    <t>Est. inicial</t>
  </si>
  <si>
    <t>Est. Final</t>
  </si>
  <si>
    <t>+</t>
  </si>
  <si>
    <t>Comprimento (m)</t>
  </si>
  <si>
    <t>LE/LD</t>
  </si>
  <si>
    <t xml:space="preserve">Agente Promotor </t>
  </si>
  <si>
    <t>Número do Contrato</t>
  </si>
  <si>
    <t>Empreendimento</t>
  </si>
  <si>
    <t>Localização</t>
  </si>
  <si>
    <t>TIPO DE OBRA</t>
  </si>
  <si>
    <t>COMPOSIÇÃO - BDI para Construção de Rodovias e Ferrovias</t>
  </si>
  <si>
    <t>ITEM</t>
  </si>
  <si>
    <t>DESCRIÇÃO ANALÍTICA</t>
  </si>
  <si>
    <t>SIGLAS</t>
  </si>
  <si>
    <t>PERCENTUAL</t>
  </si>
  <si>
    <t>SITUAÇÃO</t>
  </si>
  <si>
    <t>1° QUARTIL (MÍNIMO)</t>
  </si>
  <si>
    <t>3° QUARTIL (MÁXIMA)</t>
  </si>
  <si>
    <t>ADMINISTRAÇÃO CENTRAL</t>
  </si>
  <si>
    <t>AC</t>
  </si>
  <si>
    <t>OK</t>
  </si>
  <si>
    <t>SEGURO E GARANTIA</t>
  </si>
  <si>
    <t>S + G</t>
  </si>
  <si>
    <t>RISCO</t>
  </si>
  <si>
    <t xml:space="preserve">R </t>
  </si>
  <si>
    <t>DESPESAS FINANCEIRAS</t>
  </si>
  <si>
    <t>DF</t>
  </si>
  <si>
    <t>LUCRO</t>
  </si>
  <si>
    <t>L</t>
  </si>
  <si>
    <t>TAXA REPRESENTATIVA DE TRIBUTOS</t>
  </si>
  <si>
    <t>I= PIS+CONFINS+ISS+CPRB</t>
  </si>
  <si>
    <t>Foi incluída a CPRB com a alíquota de 4,50% sobre a Receita Bruta</t>
  </si>
  <si>
    <t>6.1</t>
  </si>
  <si>
    <t>PIS</t>
  </si>
  <si>
    <t>Alíquota iss:</t>
  </si>
  <si>
    <t>Base de cálculo:</t>
  </si>
  <si>
    <t>6.2</t>
  </si>
  <si>
    <t>CONFINS</t>
  </si>
  <si>
    <t>6.3</t>
  </si>
  <si>
    <t>CONTRIBUIÇÃO PREVIDENCIÁRIA SOBRE A RECEITA BRUTA</t>
  </si>
  <si>
    <t>CPRB</t>
  </si>
  <si>
    <t>Mão-de-obra desonerada</t>
  </si>
  <si>
    <t>6.4</t>
  </si>
  <si>
    <t>ISS</t>
  </si>
  <si>
    <t>LIMITE CONFORME ACÓRDÃO TCU 2.622/2013</t>
  </si>
  <si>
    <t>de 19,60% a 24,23%</t>
  </si>
  <si>
    <t>Fórmula - Acórdão TCU 2.622/2013</t>
  </si>
  <si>
    <t>BDI=</t>
  </si>
  <si>
    <r>
      <t>(1+AC+S+R+G)(1+DF)(1+L)</t>
    </r>
    <r>
      <rPr>
        <sz val="10"/>
        <color theme="1"/>
        <rFont val="Arial"/>
        <family val="2"/>
      </rPr>
      <t xml:space="preserve"> </t>
    </r>
    <r>
      <rPr>
        <u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1</t>
    </r>
  </si>
  <si>
    <t>OK! Percentual do BDI quando calculado sem desoneração atende ao limite estipulado pelo Acórdão TCU 2.622/2013</t>
  </si>
  <si>
    <t xml:space="preserve">                       (1-I)</t>
  </si>
  <si>
    <t>Obs¹: Para pagamento de material em canteiro, quando possível nos programas do Gestor, o BDI de Materiais deve ser limitado a 12,00%</t>
  </si>
  <si>
    <t xml:space="preserve">Eu, responsável técnico pelo orçamento, declaro para os devidos fins que a opção pela desoneração sobre a folha de pagamento é mais adequada para a administração pública. </t>
  </si>
  <si>
    <t>Declaração do Tomador dos Recursos:</t>
  </si>
  <si>
    <t xml:space="preserve">     Declaro, conforme legislação tributária municipal, que a alíquota do ISS é de 3% e a sua base de cálculo é de 100% sobre o valor total do orçamento.</t>
  </si>
  <si>
    <t>Responsável Técnico pela Composição do BDI</t>
  </si>
  <si>
    <t>Responsável indicado pelo Tomador</t>
  </si>
  <si>
    <r>
      <t xml:space="preserve">Nome: </t>
    </r>
    <r>
      <rPr>
        <u/>
        <sz val="11"/>
        <color theme="1"/>
        <rFont val="Arial"/>
        <family val="2"/>
      </rPr>
      <t>HELDER FRANCISCO LOCH</t>
    </r>
  </si>
  <si>
    <t xml:space="preserve">ART: </t>
  </si>
  <si>
    <r>
      <t xml:space="preserve">             Cargo: </t>
    </r>
    <r>
      <rPr>
        <u/>
        <sz val="11"/>
        <color theme="1"/>
        <rFont val="Arial"/>
        <family val="2"/>
      </rPr>
      <t>CONTADOR</t>
    </r>
  </si>
  <si>
    <t xml:space="preserve">             CPF: 288.787.289-34</t>
  </si>
  <si>
    <t>Lado</t>
  </si>
  <si>
    <t>Construção de Rodovias</t>
  </si>
  <si>
    <t>Fornecedor Consultado</t>
  </si>
  <si>
    <t>CNPJ</t>
  </si>
  <si>
    <t xml:space="preserve">Data da coleta da Informação </t>
  </si>
  <si>
    <t>Contato</t>
  </si>
  <si>
    <t>Telefone</t>
  </si>
  <si>
    <t>Data-base do Orçamento:</t>
  </si>
  <si>
    <t>MUNICIPIO: MARACAJÁ</t>
  </si>
  <si>
    <t>ESTADO: SC</t>
  </si>
  <si>
    <t>3.8</t>
  </si>
  <si>
    <t>3.9</t>
  </si>
  <si>
    <t>2.3</t>
  </si>
  <si>
    <t>Espessura (m)</t>
  </si>
  <si>
    <t>Quantidade (m³)</t>
  </si>
  <si>
    <t>t</t>
  </si>
  <si>
    <t>A - EQUIPAMENTOS</t>
  </si>
  <si>
    <t>Aquecedor de fluido térmico - 12 kW</t>
  </si>
  <si>
    <t>Grupo gerador - 456 kVA</t>
  </si>
  <si>
    <t>Operativa</t>
  </si>
  <si>
    <t>Improdutiva</t>
  </si>
  <si>
    <t>Produtivo</t>
  </si>
  <si>
    <t>Improdutivo</t>
  </si>
  <si>
    <t>Utilização</t>
  </si>
  <si>
    <t>Custo Horário</t>
  </si>
  <si>
    <t>B - MÃO DE OBRA</t>
  </si>
  <si>
    <t>Custo Horário Total</t>
  </si>
  <si>
    <t>P9824</t>
  </si>
  <si>
    <t>Servente</t>
  </si>
  <si>
    <t>h</t>
  </si>
  <si>
    <t>SISTEMA DE CUSTOS REFERENCIAIS DE OBRAS - SICRO</t>
  </si>
  <si>
    <t>Custo Unitário de Referência</t>
  </si>
  <si>
    <t>Santa Catarina</t>
  </si>
  <si>
    <t>Produção da equipe:</t>
  </si>
  <si>
    <t>Valores em reais (R$)</t>
  </si>
  <si>
    <t>C - MATERIAL</t>
  </si>
  <si>
    <t>Custo unitário total de material:</t>
  </si>
  <si>
    <t>Custo horário total de mão de obra:</t>
  </si>
  <si>
    <t>Custo horário total de execução:</t>
  </si>
  <si>
    <t>Custo horário total de equipamentos:</t>
  </si>
  <si>
    <t>D - ATIVIDADES AUXILIARES</t>
  </si>
  <si>
    <t>Custo total de atividades auxiliares:</t>
  </si>
  <si>
    <t>E - TEMPO FIXO</t>
  </si>
  <si>
    <t>Código</t>
  </si>
  <si>
    <t>Custo Unitário</t>
  </si>
  <si>
    <t>Custo unitário total de tempo fixo:</t>
  </si>
  <si>
    <t>Custo unitário direto total:</t>
  </si>
  <si>
    <t>Subtotal:</t>
  </si>
  <si>
    <t>Custo unitário de execução:</t>
  </si>
  <si>
    <t>E9762</t>
  </si>
  <si>
    <t>E9530</t>
  </si>
  <si>
    <t>E9545</t>
  </si>
  <si>
    <t>Custo do FIC:</t>
  </si>
  <si>
    <t>M2092</t>
  </si>
  <si>
    <t>T</t>
  </si>
  <si>
    <t>PREÇO MÉDIO MENSAL PONDERADO PRATICADO PELOS DISTRIBUIDORES DE PRODUTOS ASFÁLTICOS (R$/KG)</t>
  </si>
  <si>
    <t>Importante:</t>
  </si>
  <si>
    <t>Quando não houver declaração de venda do produto selecionado, ou quando a declaração de venda do produto ocorrer por menos de 03 (três) distribuidoras, a tabela indicará campo vazio.</t>
  </si>
  <si>
    <t>Mês</t>
  </si>
  <si>
    <t>Produto</t>
  </si>
  <si>
    <t>Preço</t>
  </si>
  <si>
    <t>EMULSÃO ASFÁLTICA PARA SERVIÇO DE IMPRIMAÇÃO</t>
  </si>
  <si>
    <t xml:space="preserve">Obs: Deverá ser acrescido o ICMS de 17% e  BDI Diferenciado de 15% em relação ao valor do material </t>
  </si>
  <si>
    <t>REAJUSTE</t>
  </si>
  <si>
    <t>DRENAGEM</t>
  </si>
  <si>
    <t>PAVIMENTAÇÃO</t>
  </si>
  <si>
    <t>SINALIZAÇÃO VERTICAL</t>
  </si>
  <si>
    <t>SINALIZAÇÃO HORIZONTAL</t>
  </si>
  <si>
    <t>Rolo compactador de pneus autopropelido de 27 t - 85 kW</t>
  </si>
  <si>
    <t>Vibroacabadora de asfalto sobre esteiras - 82 kW</t>
  </si>
  <si>
    <t>2.4</t>
  </si>
  <si>
    <t>PREFEITURA MUNICIPAL DE MARACAJÁ/SC</t>
  </si>
  <si>
    <t>ESTUDO DA BACIA DE CONTRIBUIÇÃO</t>
  </si>
  <si>
    <t>BACIA</t>
  </si>
  <si>
    <t>L. (m)</t>
  </si>
  <si>
    <t>Área (km²)</t>
  </si>
  <si>
    <t>Montante</t>
  </si>
  <si>
    <t>Jusante</t>
  </si>
  <si>
    <t>Decl. (m/km)</t>
  </si>
  <si>
    <t>TR (anos)</t>
  </si>
  <si>
    <t>i (mm/h)</t>
  </si>
  <si>
    <t>C (runoff)</t>
  </si>
  <si>
    <t>Qd (m³/s) (SOLICITADA)</t>
  </si>
  <si>
    <t>DIMENSIONAMENTO</t>
  </si>
  <si>
    <t>ESTACA</t>
  </si>
  <si>
    <t>I (m/m)</t>
  </si>
  <si>
    <r>
      <t>Ø</t>
    </r>
    <r>
      <rPr>
        <b/>
        <sz val="11.5"/>
        <rFont val="Calibri"/>
        <family val="2"/>
      </rPr>
      <t xml:space="preserve"> Projetado</t>
    </r>
  </si>
  <si>
    <t>SUBSTITUIÇÃO</t>
  </si>
  <si>
    <t>ÁREA DE CONTRIBUIÇÃO (m²)</t>
  </si>
  <si>
    <t>ÁREA DE CONTRIBUIÇÃO (HA)</t>
  </si>
  <si>
    <t>ÁREA DE CONTRIBUIÇÃO (KM²)</t>
  </si>
  <si>
    <t>PAVIMENTAÇÃO COM CONCRETO ASFÁLTICO, TERRAPLENAGEM, DRENAGEM E SINALIZAÇÃO</t>
  </si>
  <si>
    <t>ANEXO 03 - ESTUDO DE BACIAS DE CONTRIBUIÇÃO PARA CÁLCULO</t>
  </si>
  <si>
    <t>E DIMENSIONAMENTO DE BUEIRO DE TALVEGUE</t>
  </si>
  <si>
    <t>TERRAPLENAGEM</t>
  </si>
  <si>
    <t>P9821</t>
  </si>
  <si>
    <t>Pedreiro</t>
  </si>
  <si>
    <t>SINALIZAÇÃO HORIZONTAL E VERTICAL</t>
  </si>
  <si>
    <t>Base ou sub-base de brita graduada com brita comercial</t>
  </si>
  <si>
    <t>M1946</t>
  </si>
  <si>
    <t>E9559</t>
  </si>
  <si>
    <t>E9584</t>
  </si>
  <si>
    <t>E9021</t>
  </si>
  <si>
    <t>E9689</t>
  </si>
  <si>
    <t>M0028</t>
  </si>
  <si>
    <t>M0005</t>
  </si>
  <si>
    <t>M0345</t>
  </si>
  <si>
    <t>M1943</t>
  </si>
  <si>
    <t>M1941</t>
  </si>
  <si>
    <t>M1103</t>
  </si>
  <si>
    <t>Brita 0</t>
  </si>
  <si>
    <t>Óleo combustível 1A</t>
  </si>
  <si>
    <t>Pedrisco</t>
  </si>
  <si>
    <t>kg</t>
  </si>
  <si>
    <t>l</t>
  </si>
  <si>
    <t>Areia média - Caminhão basculante 10 m³</t>
  </si>
  <si>
    <t>Brita 0 - Caminhão basculante 10 m³</t>
  </si>
  <si>
    <t>Pedrisco - Caminhão basculante 10 m³</t>
  </si>
  <si>
    <t>F - MOMENTO DE TRANSPORTE</t>
  </si>
  <si>
    <t>DMT</t>
  </si>
  <si>
    <t>LN</t>
  </si>
  <si>
    <t>RP</t>
  </si>
  <si>
    <t>P</t>
  </si>
  <si>
    <t>tkm</t>
  </si>
  <si>
    <t>Custo unitário total de transporte:</t>
  </si>
  <si>
    <t>CIMENTOS ASFÁLTICOS CAP-50-70</t>
  </si>
  <si>
    <t>Preço Unitário</t>
  </si>
  <si>
    <t>Rolo compactador liso autopropelido vibratório de 11 t - 97 kW</t>
  </si>
  <si>
    <t>kg/m³</t>
  </si>
  <si>
    <t>Cal hidratada - Caminhão basculante 10 m³</t>
  </si>
  <si>
    <t>Cimento asfáltico CAP 50/70 - Caminhão basculante 10 m³</t>
  </si>
  <si>
    <t>E9571</t>
  </si>
  <si>
    <t>Caminhão tanque com capacidade de 10.000 l - 188 kW</t>
  </si>
  <si>
    <t>Custo total de atividades auxiliares</t>
  </si>
  <si>
    <t>Subtotal</t>
  </si>
  <si>
    <t>Aquisição de brita graduada simples</t>
  </si>
  <si>
    <t>OBRAS DE ARTE ESPECIAIS</t>
  </si>
  <si>
    <t>PAVIMENTOS CONCRETO CIMENTO PORTLAND</t>
  </si>
  <si>
    <t>CONSERVAÇÃO RODOVIÁRIA</t>
  </si>
  <si>
    <t>LIGANTES BETUMINOSOS</t>
  </si>
  <si>
    <t>IGP - DI</t>
  </si>
  <si>
    <t>VERGALHÕES E ARAMES DE AÇO CARBONO</t>
  </si>
  <si>
    <t>PRODUTOS SIDERÚRGICOS</t>
  </si>
  <si>
    <t>PRODUTOS DE AÇO GALVANIZADO</t>
  </si>
  <si>
    <t>ASFALTO DILUÍDO</t>
  </si>
  <si>
    <t>CIMENTO ASFÁLTICO PETRÓLEO (CAP 7 e 20)</t>
  </si>
  <si>
    <t>EMULSÕES (RR1C E RR2C)</t>
  </si>
  <si>
    <t>ADMINISTRAÇÃO LOCAL</t>
  </si>
  <si>
    <t>MOBILIZAÇÃO E DESMOBILIZAÇÃO</t>
  </si>
  <si>
    <t>OBRAS COMPLEMENTARES E MEIO AMBIENTE</t>
  </si>
  <si>
    <t>DESCRIÇÃO DOS ÍNDICES</t>
  </si>
  <si>
    <t>CÓDIGO</t>
  </si>
  <si>
    <t>ÍNDICES DE REAJUSTAMENTO DE OBRAS RODOVIÁRIAS</t>
  </si>
  <si>
    <t>TER</t>
  </si>
  <si>
    <t>PAV</t>
  </si>
  <si>
    <t>DRE</t>
  </si>
  <si>
    <t>IGP</t>
  </si>
  <si>
    <t>OAE</t>
  </si>
  <si>
    <t>SH</t>
  </si>
  <si>
    <t>CR</t>
  </si>
  <si>
    <t>LB</t>
  </si>
  <si>
    <t>SV</t>
  </si>
  <si>
    <t>AD</t>
  </si>
  <si>
    <t>AL</t>
  </si>
  <si>
    <t>PCCP</t>
  </si>
  <si>
    <t>INCC</t>
  </si>
  <si>
    <t>VAAC</t>
  </si>
  <si>
    <t>PAG</t>
  </si>
  <si>
    <t>CAP</t>
  </si>
  <si>
    <t>MD</t>
  </si>
  <si>
    <t>OCMA</t>
  </si>
  <si>
    <t>COM</t>
  </si>
  <si>
    <t>Valor unitário sem BDI</t>
  </si>
  <si>
    <t>Código de Reajuste</t>
  </si>
  <si>
    <t>FORNECIMENTO DE MATERIAL BETUMINOSO</t>
  </si>
  <si>
    <t>Imprimação com emulsão asfáltica - TX=0,0013 t/m²</t>
  </si>
  <si>
    <t>Pintura de ligação - TX=0,00045 t/m²</t>
  </si>
  <si>
    <t>RUA ARCENDINO FARIAS</t>
  </si>
  <si>
    <t>BAIRRO/DISTRITO: ESPIGÃO GRANDE</t>
  </si>
  <si>
    <t>Duplo de 0,60m</t>
  </si>
  <si>
    <t>COMPOSIÇÕES DE PREÇO UNITÁRIO</t>
  </si>
  <si>
    <t>INSUMO</t>
  </si>
  <si>
    <t>UNIDADE</t>
  </si>
  <si>
    <t>ORIGEM DE PREÇO ITEM</t>
  </si>
  <si>
    <t>COEFICIENTE</t>
  </si>
  <si>
    <t>PREÇO UNITÁRIO</t>
  </si>
  <si>
    <t>CUSTO TOTAL</t>
  </si>
  <si>
    <t>H</t>
  </si>
  <si>
    <t>COLETADO</t>
  </si>
  <si>
    <t>COMPOSIÇÃO 05</t>
  </si>
  <si>
    <t xml:space="preserve">Custo R$ </t>
  </si>
  <si>
    <t>COMPOSIÇÃO 06</t>
  </si>
  <si>
    <t>Base ou sub-base de macadame hidráulico com brita comercial</t>
  </si>
  <si>
    <t>M0808</t>
  </si>
  <si>
    <t>M1135</t>
  </si>
  <si>
    <t>Brita 4 (rachinha)</t>
  </si>
  <si>
    <t>Pó de pedra</t>
  </si>
  <si>
    <t>Brita 4 (rachinha) - Caminhão basculante 10</t>
  </si>
  <si>
    <t>Pó de pedra - Caminhão basculante 10 m³</t>
  </si>
  <si>
    <t>E9074</t>
  </si>
  <si>
    <t>Carregadeira de pneus com capacidade de 1,72 m³ - 113 kW</t>
  </si>
  <si>
    <t>Tanque de estocagem de asfalto com agitadores de 60.000 l</t>
  </si>
  <si>
    <t>Usina de asfalto a quente gravimétrica com capacidade de 100/140 t/h -260 Kw</t>
  </si>
  <si>
    <t>M0191</t>
  </si>
  <si>
    <t>M0344</t>
  </si>
  <si>
    <t>M3228</t>
  </si>
  <si>
    <t>Brita 1</t>
  </si>
  <si>
    <t>Cal hidratada - a granel</t>
  </si>
  <si>
    <t>Cimento asfáltico CAP 50/70 com 15% de asfalto borracha</t>
  </si>
  <si>
    <t>Brita 1 - Caminhão basculante 10 m³</t>
  </si>
  <si>
    <t>Cal hidratada - a granel - Caminhão silo 30 m³</t>
  </si>
  <si>
    <t>Usinagem de concreto asfáltico com borracha - faixa C - brita comercial</t>
  </si>
  <si>
    <t>Concreto asfáltico com borracha - faixa C - brita comercial</t>
  </si>
  <si>
    <t>E9681</t>
  </si>
  <si>
    <t>Rolo compactador liso tandem vibratório autopropelido de 10,4 t - 82 kW</t>
  </si>
  <si>
    <t>Usinagem de concreto asfáltico com borracha - faixa C - brita comercial - Caminhão basculante 10 m³</t>
  </si>
  <si>
    <t>COMPOSIÇÃO 07</t>
  </si>
  <si>
    <t>COMPOSIÇÃO 09</t>
  </si>
  <si>
    <t>AUXILIAR</t>
  </si>
  <si>
    <t>LOCALIZAÇÃO</t>
  </si>
  <si>
    <t>ÍNDICE NACIONAL DE CUSTO DA CONSTRUÇÃO</t>
  </si>
  <si>
    <t>ESTADO: SANTA CATARINA</t>
  </si>
  <si>
    <t>Área (m²)</t>
  </si>
  <si>
    <t>Rua</t>
  </si>
  <si>
    <t>LADO</t>
  </si>
  <si>
    <t>Dreno longitudinal profundo para corte em solo - DPS 08 - tubo PEAD e brita comercial</t>
  </si>
  <si>
    <t>E9556</t>
  </si>
  <si>
    <t>Compactador manual de placa vibratória - 3,00 kW</t>
  </si>
  <si>
    <t>M0192</t>
  </si>
  <si>
    <t>M2051</t>
  </si>
  <si>
    <t>M1658</t>
  </si>
  <si>
    <t>Brita 2</t>
  </si>
  <si>
    <t>Tubo PEAD corrugado perfurado para drenagem - D = 230 mm</t>
  </si>
  <si>
    <t>Geotêxtil não-tecido agulhado em poliéster - resistência à tração longitudinal de 14 kN/m</t>
  </si>
  <si>
    <t>Escavação mecânica de vala em material de 1ª categoria</t>
  </si>
  <si>
    <t>Brita 2 - Caminhão basculante 10 m³</t>
  </si>
  <si>
    <t>Geotêxtil não-tecido agulhado em poliéster - resistência à tração longitudinal de 14 kN/m - Caminhão carroceria 15 t</t>
  </si>
  <si>
    <t>Tubo PEAD corrugado perfurado para drenagem - D = 230 mm - Caminhão carroceria 15 t</t>
  </si>
  <si>
    <t xml:space="preserve">Valor adotado (mediana): </t>
  </si>
  <si>
    <t xml:space="preserve">           ORÇAMENTO E QUADRO DE CONSULTA DE PREÇOS DE MERCADO</t>
  </si>
  <si>
    <t>Suporte para placa de sinalização em madeira de lei tratada 8 x 8 cm - fornecimento e implantação</t>
  </si>
  <si>
    <t>CONSULTORIA (SUPERVISÃO E PROJETOS)</t>
  </si>
  <si>
    <t>OBRAS DE ARTE ESPECIAIS (SEM AÇO)</t>
  </si>
  <si>
    <t>Estado</t>
  </si>
  <si>
    <t>PR</t>
  </si>
  <si>
    <t>ESCAVAÇÃO MECANIZADA DE VALA COM PROFUNDIDADE ATÉ 1,5 M (MÉDIA MONTANTE E JUSANTE/UMA COMPOSIÇÃO POR TRECHO), RETROESCAV. (0,26 M3), LARGURA DE 0,8 M A 1,5 M, EM SOLO DE 1A CATEGORIA, LOCAIS COM BAIXO NÍVEL DE INTERFERÊNCIA</t>
  </si>
  <si>
    <t>REATERRO MECANIZADO DE VALA COM RETROESCAVADEIRA (CAPACIDADE DA CAÇAMBA DA RETRO: 0,26 M³ / POTÊNCIA: 88 HP), LARGURA DE 0,8 A 1,5 M, PROFUNDIDADE ATÉ 1,5 M, COM SOLO DE 1ª CATEGORIA EM LOCAIS COM BAIXO NÍVEL DE INTERFERÊNCIA</t>
  </si>
  <si>
    <t>5.1</t>
  </si>
  <si>
    <t>5.2</t>
  </si>
  <si>
    <t>5.3</t>
  </si>
  <si>
    <t>5.4</t>
  </si>
  <si>
    <t>5.5</t>
  </si>
  <si>
    <t>5.6</t>
  </si>
  <si>
    <t>SERVIÇOS COM AÇO PARA OBRAS DE ARTE ESPECIAIS</t>
  </si>
  <si>
    <t>EMULSÃO ASFÁLTICA MODIFICADA</t>
  </si>
  <si>
    <t>ASFALTO MODIFICADO POR POLÍMERO</t>
  </si>
  <si>
    <t>EMULSÃO ASFÁLTICA DE IMPRIMAÇÃO</t>
  </si>
  <si>
    <t>ASFALTO BORRACHA</t>
  </si>
  <si>
    <t>SUPERESTRUTURA DE PASSARELAS METÁLICAS</t>
  </si>
  <si>
    <t>OAE (SA)</t>
  </si>
  <si>
    <t>SAOAE</t>
  </si>
  <si>
    <t>OS</t>
  </si>
  <si>
    <t>RR</t>
  </si>
  <si>
    <t>EAM</t>
  </si>
  <si>
    <t>AMP</t>
  </si>
  <si>
    <t>EAI</t>
  </si>
  <si>
    <t>AB</t>
  </si>
  <si>
    <t>SPM</t>
  </si>
  <si>
    <t>1.2</t>
  </si>
  <si>
    <t>m³/km</t>
  </si>
  <si>
    <t>COMPOSIÇÃO 01</t>
  </si>
  <si>
    <t>EMULSÕES ASFÁLTICAS RR-1C</t>
  </si>
  <si>
    <t>Contratado</t>
  </si>
  <si>
    <t>PLANILHA DE CÁLCULO DE QUANTITATIVOS DE PAVIMENTAÇÃO</t>
  </si>
  <si>
    <t>Fonte: https://www.gov.br/anp/pt-br/assuntos/precos-e-defesa-da-concorrencia/precos/precos-de-distribuicao-de-produtos-asfalticos</t>
  </si>
  <si>
    <t xml:space="preserve">                       </t>
  </si>
  <si>
    <t>CRONOGRAMA GLOBAL</t>
  </si>
  <si>
    <t>Unidade: m</t>
  </si>
  <si>
    <t>REGULARIZAÇÃO E COMPACTAÇÃO DE SUBLEITO DE SOLO PREDOMINANTEMENTE ARENOSO</t>
  </si>
  <si>
    <t>PINTURA DE EIXO VIÁRIO SOBRE ASFALTO COM TINTA RETRORREFLETIVA A BASE DE RESINA ACRÍLICA COM MICROESFERAS DE VIDRO, APLICAÇÃO MECÂNICA COM DEMARCADORA AUTOPROPELIDA</t>
  </si>
  <si>
    <t>ESCAVAÇÃO VERTICAL PARA INFRAESTRUTURA, COM CARGA, DESCARGA E TRANSPORTE DE SOLO DE 1ª CATEGORIA, COM ESCAVADEIRA HIDRÁULICA (CAÇAMBA: 1,2 M³ / 155 HP), FROTA DE 3 CAMINHÕES BASCULANTES DE 14 M³, DMT ATÉ 1 KM E VELOCIDADE MÉDIA14 KM/H</t>
  </si>
  <si>
    <t>ESPALHAMENTO DE MATERIAL COM TRATOR DE ESTEIRAS</t>
  </si>
  <si>
    <t>3.7</t>
  </si>
  <si>
    <t>4.2</t>
  </si>
  <si>
    <t>Composição do BDI para obras com mão-de-obra sem desoneração (conforme Lei 13.161 de 2015)</t>
  </si>
  <si>
    <t>Percentual de BDI dentro do limite estipulado pelo Acódão TCU 2.622/2013. O cálculo dessa composição sem desoneração resulta em 20,73%</t>
  </si>
  <si>
    <t>Obs²: O  cálculo desta composição de BDI não considera a desoneração da contribuição previdenciária, conforme Lei 13.161/2015</t>
  </si>
  <si>
    <t>OBS.: SINAPI/SICRO SEM DESONERAÇÃO - FLORIANÓPOLIS/SC</t>
  </si>
  <si>
    <t>ENCARGOS SOCIAIS SEM DESONERAÇÃO</t>
  </si>
  <si>
    <t>Aquisição de emulsão asfáltica para imprimação</t>
  </si>
  <si>
    <t>Transporte de emulsão asfáltica para imprimação com caminhão com capacidade de 30.000L em Rodovia Pavimentada. DMT= 488,00 Km.</t>
  </si>
  <si>
    <t>PORTARIA DNIT N° 1.977</t>
  </si>
  <si>
    <t>Aquisição de emulsão asfáltica RR-1C</t>
  </si>
  <si>
    <t>4.4</t>
  </si>
  <si>
    <t>Transporte de emulsão asfáltica RR-1C para pintura de ligação com caminhão com capacidade de 30.000L em Rodovia Pavimentada. DMT= 488,00 Km.</t>
  </si>
  <si>
    <t>EXECUÇÃO DE PAVIMENTO COM APLICAÇÃO DE CONCRETO ASFÁLTICO, CAMADA DE ROLAMENTO - EXCLUSIVE CARGA E TRANSPORTE</t>
  </si>
  <si>
    <t>EXECUÇÃO E COMPACTAÇÃO DE BASE PARA PAVIMENTAÇÃO DE BRITA GRADUADA SIMPLES - NÃO INCLUI CARGA E TRANSPORTE</t>
  </si>
  <si>
    <t>CAIXA PARA BOCA DE LOBO SIMPLES RETANGULAR, EM ALVENARIA COM BLOCOS DE CONCRETO, DIMENSÕES INTERNAS: 0,6X1X1,2 M.</t>
  </si>
  <si>
    <t>Altura (m)</t>
  </si>
  <si>
    <t>Item</t>
  </si>
  <si>
    <t>REATERRO MECANIZADO DE CALÇADA COM RETROESCAVADEIRA</t>
  </si>
  <si>
    <t>DIREITO</t>
  </si>
  <si>
    <t>ESQUERDO</t>
  </si>
  <si>
    <t xml:space="preserve"> TOTAL:</t>
  </si>
  <si>
    <t>EMPOLAMENTO (X 1,4):</t>
  </si>
  <si>
    <t>ASSENTAMENTO DE GUIA (MEIO FIO) EM TRECHO RETO, CONFECCIONADA EM CONCRETO PRÉ-FABRICADO, DIMENSÕES 100X15X13X30 CM (COMPRIMENTO X BASE INFERIOR X BASE SUPERIOR X ALTURA), PARA VIAS URBANAS (USO VIÁRIO)</t>
  </si>
  <si>
    <t>CAMADA HORIZONTAL DRENANTE C/ PEDRA BRITADA 1 E 2</t>
  </si>
  <si>
    <t>EXECUÇÃO DE CONTRAPISO DE CONCRETO FCK= 20MPA, MOLDADO IN LOCO, USINADO, ACABAMENTO CONVENCIONAL, NÃO ARMADO</t>
  </si>
  <si>
    <t>EXECUÇÃO DE VIGA DE TRAVAMENTO DE CALÇADA (10X30CM) EM CONCRETO FCK= 20MPA</t>
  </si>
  <si>
    <t>PISO TÁTIL DIRECIONAL E ALERTA E DIRECIONAL DE CONCRETO (0,45X0,45) ASSENTADO SOBRE ARGAMASSA COLANTE (TIPO AC-III) REJUNTADO COM CIMENTO COMUM</t>
  </si>
  <si>
    <t>PLANILHA DE CÁLCULO DE QUANTITATIVOS DE CALÇADA (ACESSIBILIDADE)</t>
  </si>
  <si>
    <t>Quantidade (m)</t>
  </si>
  <si>
    <t>Placa dupla de identificação de rua - 0,25 x 0,45m - fornecimento e implantação</t>
  </si>
  <si>
    <t>Suporte metálico galvanizado para identificação de rua - 0,25 x 0,45m - fornecimento e implantação</t>
  </si>
  <si>
    <t>PINTURA DE FAIXA DE PEDESTRE OU ZEBRADA TINTA RETRORREFLETIVA A BASE DE RESINA ACRÍLICA COM MICROESFERAS DE VIDRO, E = 30 CM, APLICAÇÃO MANUAL</t>
  </si>
  <si>
    <t>Placa em aço com película retrorrefletiva tipo I + I - fornecimento e implantação - Placa de obra</t>
  </si>
  <si>
    <t>Contrapartida</t>
  </si>
  <si>
    <t>RUA JOSÉ MARQUES</t>
  </si>
  <si>
    <t>RUA VEREADOR FLÁVIO ROCHA</t>
  </si>
  <si>
    <t>Largura média (m)</t>
  </si>
  <si>
    <t>ASSENTAMENTO DE TUBO DE CONCRETO PARA REDES COLETORAS DE ÁGUAS PLUVIAIS, DIÂMETRO DE 400 MM, JUNTA RÍGIDA, INSTALADO EM LOCAL COM BAIXO NÍVEL DE INTERFERÊNCIAS (NÃO INCLUI FORNECIMENTO)</t>
  </si>
  <si>
    <t>EXECUÇÃO E COMPACTAÇÃO DE BASE E OU SUB BASE PARA PAVIMENTAÇÃO DE PEDRA RACHÃO  - EXCLUSIVE CARGA E TRANSPORTE</t>
  </si>
  <si>
    <t>SINAPI 05/24</t>
  </si>
  <si>
    <t>SICRO 05/24</t>
  </si>
  <si>
    <t>ANP 05/24</t>
  </si>
  <si>
    <t>TRANSPORTE DE PEDRA SUB BASE COM CAMINHÃO BASCULANTE DE 14 M³, EM VIA URBANA PAVIMENTADA. DMT 2,70 KM</t>
  </si>
  <si>
    <t>TRANSPORTE DE BRITA GRADUADA SIMPLES COM CAMINHÃO BASCULANTE DE 14 M³, EM VIA URBANA PAVIMENTADA. DMT 2,70 KM</t>
  </si>
  <si>
    <t>TRANSPORTE DE CONCRETO ASFÁLTICO COM CAMINHÃO BASCULANTE DE 14 M³, EM VIA URBANA PAVIMENTADA, ADICIONAL PARA DMT EXCEDENTE A 30 KM (UNIDADE: M3XKM). DMT 2,70 KM</t>
  </si>
  <si>
    <t>Placa de regulamentação em aço, R1 lado 0,248 m - película retrorrefletiva tipo I + SI - fornecimento e implantação</t>
  </si>
  <si>
    <t>Suporte metálico galvanizado para placa de regulamentação - R1 - lado de 0,248 m - fornecimento e implantação</t>
  </si>
  <si>
    <t>5.7</t>
  </si>
  <si>
    <t>5.8</t>
  </si>
  <si>
    <t>DATA BASE DO ORÇAMENTO: SINAPI 05/2024 - SICRO 06/2024</t>
  </si>
  <si>
    <t>Suporte metálico galvanizado para placa de advertência ou regulamentação - lado ou diâmetro de 0,60 m - fornecimento e
implantação</t>
  </si>
  <si>
    <t>SICRO 02/24</t>
  </si>
  <si>
    <t>Placa de regulamentação em aço D = 0,60 m - película retrorrefletiva tipo I + SI - fornecimento e implantação</t>
  </si>
  <si>
    <t>5.9</t>
  </si>
  <si>
    <t>5.10</t>
  </si>
  <si>
    <t>EMPRESA:</t>
  </si>
  <si>
    <t>PREENCHA APENAS AS CÉLULAS EM AMARELO</t>
  </si>
  <si>
    <t>TRILHA SUSPENSA - PARQUE ECOLÓGICO</t>
  </si>
  <si>
    <t>QTDD de Pilares (un.)</t>
  </si>
  <si>
    <t>QTDD (un.)</t>
  </si>
  <si>
    <t>QTDD á cada 2m (m)</t>
  </si>
  <si>
    <t>QTDD á cada 2m (un.)</t>
  </si>
  <si>
    <t>DATA BASE DO ORÇAMENTO: SINAPI 06/2024</t>
  </si>
  <si>
    <t>BAIRRO: GARAJUVA</t>
  </si>
  <si>
    <t>QTDD de vigas (un.)</t>
  </si>
  <si>
    <t>4115</t>
  </si>
  <si>
    <t>M</t>
  </si>
  <si>
    <t>40568</t>
  </si>
  <si>
    <t>KG</t>
  </si>
  <si>
    <t>88239</t>
  </si>
  <si>
    <t>AJUDANTE DE CARPINTEIRO COM ENCARGOS COMPLEMENTARES</t>
  </si>
  <si>
    <t>0,3749200</t>
  </si>
  <si>
    <t>24,50</t>
  </si>
  <si>
    <t>88262</t>
  </si>
  <si>
    <t>CARPINTEIRO DE FORMAS COM ENCARGOS COMPLEMENTARES</t>
  </si>
  <si>
    <t>0,5248900</t>
  </si>
  <si>
    <t>31,24</t>
  </si>
  <si>
    <t>UN</t>
  </si>
  <si>
    <t>0,5164090</t>
  </si>
  <si>
    <t>0,7229700</t>
  </si>
  <si>
    <t>COMPOSIÇÃO 02</t>
  </si>
  <si>
    <t>COMPOSIÇÃO 03</t>
  </si>
  <si>
    <t>MADEIRA ROLICA TRATADA, D = 14 CM, H = 3,00 M, EM EUCALIPTO OU EQUIVALENTE DA REGIAO</t>
  </si>
  <si>
    <t>COTAÇÃO</t>
  </si>
  <si>
    <t>MADEIRA ROLICA TRATADA, D = 12 CM, COMPRIMENTO = 4,00 M, EM EUCALIPTO</t>
  </si>
  <si>
    <t>MADEIRA ROLICA TRATADA, D = 12 CM, COMPRIMENTO = 1,48 M, EM EUCALIPTO</t>
  </si>
  <si>
    <t>4500</t>
  </si>
  <si>
    <t>0,3053400</t>
  </si>
  <si>
    <t>0,4274800</t>
  </si>
  <si>
    <t>VIGA DE MADEIRA SERRADA, PINUS, SEÇÃO RETANGULAR 6 X 12 CM</t>
  </si>
  <si>
    <t>VIGA DE MADEIRA SERRADA, PINUS, SEÇÃO RETANGULAR 4 X 15 CM</t>
  </si>
  <si>
    <t>6180</t>
  </si>
  <si>
    <t>M2</t>
  </si>
  <si>
    <t>0,0687500</t>
  </si>
  <si>
    <t>0,4502800</t>
  </si>
  <si>
    <t>0,6304030</t>
  </si>
  <si>
    <t>PISO DE MADEIRA, SOBRE VIGOTAS DE MADEIRA SEÇÃO 10 X 3,5 X 133 CM</t>
  </si>
  <si>
    <t>VIGA DE MADEIRA SERRADA, PINUS, SEÇÃO RETANGULAR 6 X 6 CM</t>
  </si>
  <si>
    <t>COMPOSIÇÃO 04</t>
  </si>
  <si>
    <t>OBRAS EM MADEIRA</t>
  </si>
  <si>
    <t>Tramavan</t>
  </si>
  <si>
    <t>80.494.009/0001-64</t>
  </si>
  <si>
    <t>(48)-99945-8841</t>
  </si>
  <si>
    <t>Vanderlei</t>
  </si>
  <si>
    <t>Madeireira Dário</t>
  </si>
  <si>
    <t>05.666.942/0001-27</t>
  </si>
  <si>
    <t>(48)-99926-3212</t>
  </si>
  <si>
    <t>Enio</t>
  </si>
  <si>
    <t>PREGO DE ACO POLIDO COM CABECA 19 X 36 (3 1/4 X 9)</t>
  </si>
  <si>
    <t>Tratasul</t>
  </si>
  <si>
    <t>02.445.862/0001-53</t>
  </si>
  <si>
    <t>(48)-3526-7724</t>
  </si>
  <si>
    <t>Bergmann Parafusos Ltda</t>
  </si>
  <si>
    <t>02.863.453/0001-77</t>
  </si>
  <si>
    <t>(48)-3437-3542</t>
  </si>
  <si>
    <t>PORCA ZINCADA PARA VERGALHÃO ROSCADO COM DIAMETRO 3/8"</t>
  </si>
  <si>
    <t>ARRUELA ZINCADA PARA VERGALHÃO ROSCADO COM DIAMETRO 3/8"</t>
  </si>
  <si>
    <t>VERGALHÃO ROSCADO ZINCADO, DIAMETRO 3/8"</t>
  </si>
  <si>
    <t>José</t>
  </si>
  <si>
    <t>Elio Henrique</t>
  </si>
  <si>
    <t>COEF. DE REPR.</t>
  </si>
  <si>
    <t>48.372.763/0001-72</t>
  </si>
  <si>
    <t>(48)-99835-0458</t>
  </si>
  <si>
    <t>SERVIÇOS PRELIMINARES</t>
  </si>
  <si>
    <t>REMOÇÃO DE PISO DE MADEIRA (ASSOALHO E BARROTE), DE FORMA MANUAL, SEM REAPROVEITAMENTO</t>
  </si>
  <si>
    <t>2.5</t>
  </si>
  <si>
    <t>2.6</t>
  </si>
  <si>
    <t>2.7</t>
  </si>
  <si>
    <t>Ponto das Madeiras</t>
  </si>
  <si>
    <t>Lucas</t>
  </si>
  <si>
    <t>82.545.401/0001-91</t>
  </si>
  <si>
    <t>Sasso e Cia Ltda</t>
  </si>
  <si>
    <t>(48)-3512-7177</t>
  </si>
  <si>
    <t>RCM Parafuso</t>
  </si>
  <si>
    <t>Robson</t>
  </si>
  <si>
    <t>24.638.644/0001-78</t>
  </si>
  <si>
    <t>(48)-3522-0182</t>
  </si>
  <si>
    <t>VIGA DE MADEIRA SERRADA, PINUS TRATADO, SEÇÃO RETANGULAR 4 X 15 X 400 CM. ITEM 01 DO PROJETO</t>
  </si>
  <si>
    <t>VIGA DE MADEIRA SERRADA, PINUS TRATADO, SEÇÃO RETANGULAR 6 X 12 X 400 CM. ITEM 02 DO PROJETO</t>
  </si>
  <si>
    <t>PILAR DE MADEIRA ROLIÇA, EUCALIPTO TRATADO, DIÂMETRO DE 14 CM, ALTURA DE 3 M. ITEM 03 DO PROJETO</t>
  </si>
  <si>
    <t>VIGA DE MADEIRA SERRADA, PINUS TRATADO, SEÇÃO RETANGULAR 6 X 6 X 115 CM. ITEM 04 DO PROJETO</t>
  </si>
  <si>
    <t>PISO DE MADEIRA (PINUS TRATADO), SOBRE VIGOTAS DE MADEIRA SEÇÃO 10 X 3,5 X 134 CM. ITEM 05 DO PROJETO</t>
  </si>
  <si>
    <t>VIGA DE MADEIRA ROLIÇA EM EUCALIPTO TRATADO (APLAINADA PARA ASSENTAMENTO DE DECK), DIÂMETRO DE 12 CM, COMPRIMENTO DE 4 M. ITEM 06 DO PROJETO</t>
  </si>
  <si>
    <t>VIGA DE MADEIRA ROLIÇA EM EUCALIPTO TRATADO, DIÂMETRO DE 12 CM, COMPRIMENTO DE 1,48 M. ITEM 07 DO PROJETO</t>
  </si>
  <si>
    <t>SINAPI 06/24</t>
  </si>
  <si>
    <t>Profundidade (m)</t>
  </si>
  <si>
    <t>Diâmetro de escavação (m)</t>
  </si>
  <si>
    <t>ESCAVAÇÃO MANUAL EM MATERIAL DE 1ª CATEGORIA NA PROFUNDIDADE DE ATÉ 1 M</t>
  </si>
  <si>
    <t>2.8</t>
  </si>
  <si>
    <t>SICRO 06/24</t>
  </si>
  <si>
    <t>Nome: RAFAEL MARTINS DA SILVA</t>
  </si>
  <si>
    <t>Registro: 113.899-6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</si>
</sst>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* #,##0_-;\-* #,##0_-;_-* &quot;-&quot;??_-;_-@_-"/>
    <numFmt numFmtId="166" formatCode="0.000"/>
    <numFmt numFmtId="167" formatCode="&quot;R$&quot;\ #,##0.00"/>
    <numFmt numFmtId="168" formatCode="0.0000"/>
    <numFmt numFmtId="169" formatCode="0.00000"/>
    <numFmt numFmtId="170" formatCode="#,##0.0000"/>
    <numFmt numFmtId="171" formatCode="#,##0.000"/>
    <numFmt numFmtId="172" formatCode="_(* #,##0.00_);_(* \(#,##0.00\);_(* &quot;-&quot;??_);_(@_)"/>
    <numFmt numFmtId="173" formatCode="_(* #,##0_);_(* \(#,##0\);_(* &quot;-&quot;??_);_(@_)"/>
    <numFmt numFmtId="174" formatCode="#,##0_ ;\-#,##0\ "/>
    <numFmt numFmtId="175" formatCode="0.00000000000000"/>
  </numFmts>
  <fonts count="6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sz val="7"/>
      <name val="Calibri"/>
      <family val="2"/>
      <scheme val="minor"/>
    </font>
    <font>
      <b/>
      <sz val="7"/>
      <name val="Calibri"/>
      <family val="2"/>
      <scheme val="minor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el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u/>
      <sz val="10"/>
      <color theme="1"/>
      <name val="Arial"/>
      <family val="2"/>
    </font>
    <font>
      <sz val="9"/>
      <color theme="9" tint="-0.249977111117893"/>
      <name val="Arial"/>
      <family val="2"/>
    </font>
    <font>
      <sz val="11"/>
      <color theme="9" tint="-0.249977111117893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</font>
    <font>
      <b/>
      <sz val="11.5"/>
      <name val="Calibri"/>
      <family val="2"/>
    </font>
    <font>
      <b/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.5"/>
      <color rgb="FFFF0000"/>
      <name val="Calibri"/>
      <family val="2"/>
      <scheme val="minor"/>
    </font>
    <font>
      <sz val="10.5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ourier New"/>
      <family val="3"/>
    </font>
    <font>
      <b/>
      <sz val="2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.5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b/>
      <sz val="22"/>
      <color rgb="FFFF0000"/>
      <name val="Calibri"/>
      <family val="2"/>
      <scheme val="minor"/>
    </font>
    <font>
      <sz val="26"/>
      <color rgb="FFFF0000"/>
      <name val="Calibri"/>
      <family val="2"/>
      <scheme val="minor"/>
    </font>
    <font>
      <u/>
      <sz val="10"/>
      <name val="Calibri"/>
      <family val="2"/>
      <scheme val="minor"/>
    </font>
    <font>
      <b/>
      <sz val="12"/>
      <name val="Courier New"/>
      <family val="3"/>
    </font>
    <font>
      <b/>
      <u/>
      <sz val="12"/>
      <name val="Courier New"/>
      <family val="3"/>
    </font>
    <font>
      <b/>
      <u val="singleAccounting"/>
      <sz val="12"/>
      <name val="Courier New"/>
      <family val="3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C00000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7030A0"/>
      </left>
      <right style="thin">
        <color auto="1"/>
      </right>
      <top style="medium">
        <color rgb="FF7030A0"/>
      </top>
      <bottom style="thin">
        <color auto="1"/>
      </bottom>
      <diagonal/>
    </border>
    <border>
      <left style="medium">
        <color rgb="FF7030A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rgb="FF7030A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7030A0"/>
      </bottom>
      <diagonal/>
    </border>
    <border>
      <left style="medium">
        <color rgb="FF7030A0"/>
      </left>
      <right style="thin">
        <color auto="1"/>
      </right>
      <top style="thin">
        <color auto="1"/>
      </top>
      <bottom style="medium">
        <color rgb="FF7030A0"/>
      </bottom>
      <diagonal/>
    </border>
    <border>
      <left/>
      <right/>
      <top/>
      <bottom style="medium">
        <color rgb="FF7030A0"/>
      </bottom>
      <diagonal/>
    </border>
    <border>
      <left/>
      <right/>
      <top style="medium">
        <color rgb="FF7030A0"/>
      </top>
      <bottom style="medium">
        <color rgb="FF7030A0"/>
      </bottom>
      <diagonal/>
    </border>
    <border>
      <left/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rgb="FF7030A0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ash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tted">
        <color indexed="64"/>
      </right>
      <top style="dash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</borders>
  <cellStyleXfs count="2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0" fontId="26" fillId="0" borderId="0"/>
    <xf numFmtId="0" fontId="31" fillId="0" borderId="0"/>
    <xf numFmtId="0" fontId="32" fillId="0" borderId="0" applyNumberForma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34" fillId="0" borderId="0"/>
    <xf numFmtId="172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0" fontId="45" fillId="0" borderId="0"/>
    <xf numFmtId="172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 applyNumberFormat="0" applyFill="0" applyBorder="0" applyAlignment="0" applyProtection="0"/>
  </cellStyleXfs>
  <cellXfs count="79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4" fillId="0" borderId="0" xfId="0" applyFon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44" fontId="0" fillId="0" borderId="8" xfId="0" applyNumberFormat="1" applyBorder="1"/>
    <xf numFmtId="0" fontId="0" fillId="0" borderId="8" xfId="0" applyBorder="1" applyAlignment="1">
      <alignment horizontal="center"/>
    </xf>
    <xf numFmtId="0" fontId="0" fillId="0" borderId="3" xfId="0" applyBorder="1"/>
    <xf numFmtId="0" fontId="0" fillId="0" borderId="0" xfId="0" applyFill="1" applyBorder="1"/>
    <xf numFmtId="44" fontId="0" fillId="0" borderId="0" xfId="0" applyNumberForma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43" fontId="1" fillId="2" borderId="1" xfId="2" applyFont="1" applyFill="1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0" xfId="0" applyFont="1"/>
    <xf numFmtId="164" fontId="0" fillId="0" borderId="0" xfId="0" applyNumberFormat="1" applyAlignment="1">
      <alignment horizontal="center"/>
    </xf>
    <xf numFmtId="44" fontId="0" fillId="0" borderId="0" xfId="0" applyNumberFormat="1" applyAlignment="1">
      <alignment horizontal="center"/>
    </xf>
    <xf numFmtId="10" fontId="0" fillId="0" borderId="0" xfId="3" applyNumberFormat="1" applyFont="1" applyAlignment="1">
      <alignment horizontal="center"/>
    </xf>
    <xf numFmtId="0" fontId="0" fillId="0" borderId="0" xfId="0" applyBorder="1" applyAlignment="1">
      <alignment horizontal="right"/>
    </xf>
    <xf numFmtId="17" fontId="4" fillId="0" borderId="0" xfId="0" applyNumberFormat="1" applyFont="1"/>
    <xf numFmtId="0" fontId="6" fillId="0" borderId="0" xfId="4" applyFont="1"/>
    <xf numFmtId="0" fontId="6" fillId="0" borderId="0" xfId="4" applyFont="1" applyBorder="1" applyAlignment="1">
      <alignment horizontal="center"/>
    </xf>
    <xf numFmtId="0" fontId="6" fillId="0" borderId="0" xfId="4" applyFont="1" applyFill="1"/>
    <xf numFmtId="0" fontId="12" fillId="0" borderId="0" xfId="0" applyFont="1" applyAlignment="1"/>
    <xf numFmtId="0" fontId="12" fillId="0" borderId="0" xfId="0" applyFont="1"/>
    <xf numFmtId="0" fontId="14" fillId="0" borderId="0" xfId="0" applyFont="1"/>
    <xf numFmtId="0" fontId="13" fillId="0" borderId="0" xfId="0" applyFont="1"/>
    <xf numFmtId="0" fontId="13" fillId="0" borderId="10" xfId="0" applyFont="1" applyBorder="1"/>
    <xf numFmtId="0" fontId="13" fillId="0" borderId="1" xfId="0" applyFont="1" applyBorder="1" applyAlignment="1">
      <alignment horizontal="center" vertical="center"/>
    </xf>
    <xf numFmtId="10" fontId="13" fillId="0" borderId="1" xfId="3" applyNumberFormat="1" applyFont="1" applyBorder="1" applyAlignment="1">
      <alignment horizontal="center" vertical="center"/>
    </xf>
    <xf numFmtId="0" fontId="17" fillId="0" borderId="0" xfId="0" applyFont="1"/>
    <xf numFmtId="0" fontId="13" fillId="0" borderId="39" xfId="0" applyFont="1" applyBorder="1"/>
    <xf numFmtId="0" fontId="13" fillId="0" borderId="40" xfId="0" applyFont="1" applyBorder="1" applyAlignment="1">
      <alignment horizontal="center" vertical="center"/>
    </xf>
    <xf numFmtId="10" fontId="13" fillId="0" borderId="25" xfId="3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10" fontId="13" fillId="0" borderId="41" xfId="3" applyNumberFormat="1" applyFont="1" applyBorder="1"/>
    <xf numFmtId="10" fontId="13" fillId="0" borderId="42" xfId="3" applyNumberFormat="1" applyFont="1" applyBorder="1"/>
    <xf numFmtId="0" fontId="13" fillId="0" borderId="43" xfId="0" applyFont="1" applyBorder="1" applyAlignment="1">
      <alignment horizontal="center" vertical="center"/>
    </xf>
    <xf numFmtId="0" fontId="13" fillId="0" borderId="43" xfId="0" applyFont="1" applyBorder="1"/>
    <xf numFmtId="10" fontId="13" fillId="0" borderId="44" xfId="3" applyNumberFormat="1" applyFont="1" applyBorder="1" applyAlignment="1">
      <alignment horizontal="center" vertical="center"/>
    </xf>
    <xf numFmtId="0" fontId="20" fillId="0" borderId="0" xfId="0" applyFont="1"/>
    <xf numFmtId="0" fontId="13" fillId="0" borderId="5" xfId="0" applyFont="1" applyBorder="1"/>
    <xf numFmtId="0" fontId="13" fillId="0" borderId="0" xfId="0" applyFont="1" applyBorder="1"/>
    <xf numFmtId="0" fontId="13" fillId="0" borderId="6" xfId="0" applyFont="1" applyBorder="1"/>
    <xf numFmtId="0" fontId="21" fillId="0" borderId="0" xfId="0" applyFont="1" applyBorder="1"/>
    <xf numFmtId="0" fontId="13" fillId="0" borderId="7" xfId="0" applyFont="1" applyBorder="1"/>
    <xf numFmtId="0" fontId="13" fillId="0" borderId="8" xfId="0" applyFont="1" applyBorder="1"/>
    <xf numFmtId="0" fontId="13" fillId="0" borderId="9" xfId="0" applyFont="1" applyBorder="1"/>
    <xf numFmtId="0" fontId="17" fillId="0" borderId="8" xfId="0" applyFont="1" applyBorder="1"/>
    <xf numFmtId="0" fontId="17" fillId="0" borderId="5" xfId="0" applyFont="1" applyBorder="1"/>
    <xf numFmtId="0" fontId="17" fillId="0" borderId="0" xfId="0" applyFont="1" applyBorder="1"/>
    <xf numFmtId="0" fontId="17" fillId="0" borderId="6" xfId="0" applyFont="1" applyBorder="1"/>
    <xf numFmtId="0" fontId="17" fillId="0" borderId="7" xfId="0" applyFont="1" applyBorder="1" applyAlignment="1"/>
    <xf numFmtId="0" fontId="17" fillId="0" borderId="8" xfId="0" applyFont="1" applyBorder="1" applyAlignment="1"/>
    <xf numFmtId="0" fontId="17" fillId="0" borderId="9" xfId="0" applyFont="1" applyBorder="1" applyAlignment="1"/>
    <xf numFmtId="0" fontId="17" fillId="0" borderId="5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0" fillId="0" borderId="0" xfId="4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0" fillId="0" borderId="0" xfId="2" applyNumberFormat="1" applyFont="1" applyFill="1" applyBorder="1" applyAlignment="1">
      <alignment horizontal="right" vertical="center"/>
    </xf>
    <xf numFmtId="165" fontId="1" fillId="0" borderId="0" xfId="2" applyNumberFormat="1" applyFont="1" applyFill="1" applyBorder="1" applyAlignment="1">
      <alignment horizontal="right" vertical="center"/>
    </xf>
    <xf numFmtId="3" fontId="0" fillId="0" borderId="0" xfId="0" applyNumberFormat="1" applyFill="1" applyBorder="1" applyAlignment="1">
      <alignment horizontal="right" vertical="center"/>
    </xf>
    <xf numFmtId="14" fontId="0" fillId="0" borderId="0" xfId="0" applyNumberFormat="1" applyFill="1" applyBorder="1" applyAlignment="1">
      <alignment horizontal="left"/>
    </xf>
    <xf numFmtId="4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43" fontId="0" fillId="0" borderId="0" xfId="2" applyNumberFormat="1" applyFont="1" applyFill="1" applyBorder="1" applyAlignment="1">
      <alignment horizontal="right" vertical="center"/>
    </xf>
    <xf numFmtId="164" fontId="0" fillId="0" borderId="0" xfId="0" applyNumberFormat="1"/>
    <xf numFmtId="4" fontId="10" fillId="0" borderId="1" xfId="4" applyNumberFormat="1" applyFont="1" applyFill="1" applyBorder="1" applyAlignment="1">
      <alignment horizontal="center" vertical="center"/>
    </xf>
    <xf numFmtId="9" fontId="0" fillId="4" borderId="1" xfId="3" applyFont="1" applyFill="1" applyBorder="1"/>
    <xf numFmtId="9" fontId="0" fillId="2" borderId="1" xfId="3" applyFont="1" applyFill="1" applyBorder="1"/>
    <xf numFmtId="0" fontId="0" fillId="4" borderId="1" xfId="0" applyFont="1" applyFill="1" applyBorder="1"/>
    <xf numFmtId="2" fontId="0" fillId="0" borderId="0" xfId="0" applyNumberFormat="1"/>
    <xf numFmtId="168" fontId="0" fillId="0" borderId="0" xfId="0" applyNumberFormat="1"/>
    <xf numFmtId="0" fontId="0" fillId="0" borderId="0" xfId="0" applyAlignment="1">
      <alignment horizontal="right"/>
    </xf>
    <xf numFmtId="170" fontId="0" fillId="0" borderId="0" xfId="0" applyNumberFormat="1"/>
    <xf numFmtId="17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70" fontId="0" fillId="0" borderId="0" xfId="0" applyNumberFormat="1" applyAlignment="1">
      <alignment horizontal="right"/>
    </xf>
    <xf numFmtId="168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right"/>
    </xf>
    <xf numFmtId="0" fontId="0" fillId="0" borderId="0" xfId="0" applyAlignment="1">
      <alignment vertical="center" wrapText="1"/>
    </xf>
    <xf numFmtId="168" fontId="0" fillId="0" borderId="0" xfId="0" applyNumberFormat="1" applyAlignment="1">
      <alignment vertical="center"/>
    </xf>
    <xf numFmtId="0" fontId="29" fillId="2" borderId="0" xfId="0" applyFont="1" applyFill="1" applyBorder="1"/>
    <xf numFmtId="43" fontId="0" fillId="0" borderId="0" xfId="2" applyFont="1"/>
    <xf numFmtId="0" fontId="29" fillId="0" borderId="0" xfId="0" applyFont="1"/>
    <xf numFmtId="44" fontId="0" fillId="0" borderId="0" xfId="0" applyNumberFormat="1"/>
    <xf numFmtId="0" fontId="6" fillId="0" borderId="0" xfId="11" applyFont="1"/>
    <xf numFmtId="0" fontId="6" fillId="0" borderId="32" xfId="11" applyFont="1" applyFill="1" applyBorder="1"/>
    <xf numFmtId="0" fontId="6" fillId="0" borderId="33" xfId="11" applyFont="1" applyFill="1" applyBorder="1"/>
    <xf numFmtId="0" fontId="6" fillId="0" borderId="21" xfId="11" applyFont="1" applyFill="1" applyBorder="1"/>
    <xf numFmtId="0" fontId="6" fillId="0" borderId="22" xfId="11" applyFont="1" applyFill="1" applyBorder="1"/>
    <xf numFmtId="0" fontId="10" fillId="0" borderId="17" xfId="11" applyFont="1" applyBorder="1" applyAlignment="1">
      <alignment horizontal="center"/>
    </xf>
    <xf numFmtId="0" fontId="10" fillId="0" borderId="0" xfId="11" applyFont="1" applyBorder="1" applyAlignment="1">
      <alignment horizontal="center"/>
    </xf>
    <xf numFmtId="0" fontId="6" fillId="0" borderId="0" xfId="11" applyFont="1" applyBorder="1" applyAlignment="1">
      <alignment horizontal="center"/>
    </xf>
    <xf numFmtId="0" fontId="36" fillId="0" borderId="0" xfId="11" applyFont="1" applyFill="1"/>
    <xf numFmtId="0" fontId="36" fillId="0" borderId="0" xfId="11" applyFont="1"/>
    <xf numFmtId="0" fontId="35" fillId="0" borderId="35" xfId="11" applyFont="1" applyBorder="1" applyAlignment="1">
      <alignment horizontal="center" vertical="center"/>
    </xf>
    <xf numFmtId="0" fontId="6" fillId="0" borderId="0" xfId="11" applyFont="1" applyFill="1"/>
    <xf numFmtId="0" fontId="6" fillId="0" borderId="46" xfId="11" applyFont="1" applyBorder="1"/>
    <xf numFmtId="0" fontId="6" fillId="0" borderId="0" xfId="11" applyFont="1" applyBorder="1"/>
    <xf numFmtId="0" fontId="7" fillId="3" borderId="19" xfId="11" applyFont="1" applyFill="1" applyBorder="1" applyAlignment="1">
      <alignment horizontal="center" vertical="center" wrapText="1"/>
    </xf>
    <xf numFmtId="0" fontId="7" fillId="3" borderId="1" xfId="11" applyFont="1" applyFill="1" applyBorder="1" applyAlignment="1">
      <alignment horizontal="center" vertical="center" wrapText="1"/>
    </xf>
    <xf numFmtId="0" fontId="7" fillId="3" borderId="20" xfId="11" applyFont="1" applyFill="1" applyBorder="1" applyAlignment="1">
      <alignment horizontal="center" vertical="center" wrapText="1"/>
    </xf>
    <xf numFmtId="1" fontId="6" fillId="0" borderId="28" xfId="11" applyNumberFormat="1" applyFont="1" applyFill="1" applyBorder="1" applyAlignment="1">
      <alignment horizontal="center" vertical="center"/>
    </xf>
    <xf numFmtId="173" fontId="6" fillId="0" borderId="29" xfId="12" applyNumberFormat="1" applyFont="1" applyFill="1" applyBorder="1" applyAlignment="1">
      <alignment horizontal="center" vertical="center"/>
    </xf>
    <xf numFmtId="166" fontId="6" fillId="0" borderId="29" xfId="11" applyNumberFormat="1" applyFont="1" applyFill="1" applyBorder="1" applyAlignment="1">
      <alignment horizontal="center" vertical="center"/>
    </xf>
    <xf numFmtId="2" fontId="6" fillId="0" borderId="29" xfId="13" applyNumberFormat="1" applyFont="1" applyFill="1" applyBorder="1" applyAlignment="1">
      <alignment horizontal="center" vertical="center"/>
    </xf>
    <xf numFmtId="1" fontId="6" fillId="0" borderId="29" xfId="11" applyNumberFormat="1" applyFont="1" applyFill="1" applyBorder="1" applyAlignment="1">
      <alignment horizontal="center" vertical="center"/>
    </xf>
    <xf numFmtId="2" fontId="6" fillId="0" borderId="29" xfId="11" applyNumberFormat="1" applyFont="1" applyFill="1" applyBorder="1" applyAlignment="1">
      <alignment horizontal="center" vertical="center"/>
    </xf>
    <xf numFmtId="0" fontId="6" fillId="0" borderId="29" xfId="11" applyFont="1" applyFill="1" applyBorder="1" applyAlignment="1">
      <alignment horizontal="center"/>
    </xf>
    <xf numFmtId="171" fontId="37" fillId="2" borderId="35" xfId="11" applyNumberFormat="1" applyFont="1" applyFill="1" applyBorder="1" applyAlignment="1">
      <alignment horizontal="center"/>
    </xf>
    <xf numFmtId="0" fontId="6" fillId="0" borderId="31" xfId="11" applyFont="1" applyFill="1" applyBorder="1"/>
    <xf numFmtId="0" fontId="6" fillId="0" borderId="46" xfId="11" applyFont="1" applyFill="1" applyBorder="1"/>
    <xf numFmtId="2" fontId="7" fillId="0" borderId="46" xfId="11" applyNumberFormat="1" applyFont="1" applyFill="1" applyBorder="1" applyAlignment="1">
      <alignment horizontal="left" vertical="center"/>
    </xf>
    <xf numFmtId="4" fontId="7" fillId="0" borderId="46" xfId="11" applyNumberFormat="1" applyFont="1" applyFill="1" applyBorder="1" applyAlignment="1">
      <alignment horizontal="center"/>
    </xf>
    <xf numFmtId="2" fontId="7" fillId="0" borderId="46" xfId="11" applyNumberFormat="1" applyFont="1" applyFill="1" applyBorder="1" applyAlignment="1">
      <alignment horizontal="center"/>
    </xf>
    <xf numFmtId="2" fontId="7" fillId="0" borderId="46" xfId="11" applyNumberFormat="1" applyFont="1" applyFill="1" applyBorder="1" applyAlignment="1">
      <alignment horizontal="right" vertical="center"/>
    </xf>
    <xf numFmtId="4" fontId="7" fillId="0" borderId="13" xfId="11" applyNumberFormat="1" applyFont="1" applyFill="1" applyBorder="1" applyAlignment="1">
      <alignment horizontal="center"/>
    </xf>
    <xf numFmtId="0" fontId="7" fillId="3" borderId="27" xfId="11" applyFont="1" applyFill="1" applyBorder="1" applyAlignment="1">
      <alignment horizontal="center" vertical="center" wrapText="1"/>
    </xf>
    <xf numFmtId="0" fontId="38" fillId="3" borderId="45" xfId="11" applyFont="1" applyFill="1" applyBorder="1" applyAlignment="1">
      <alignment horizontal="center" vertical="center" wrapText="1"/>
    </xf>
    <xf numFmtId="168" fontId="37" fillId="0" borderId="35" xfId="11" applyNumberFormat="1" applyFont="1" applyFill="1" applyBorder="1" applyAlignment="1">
      <alignment horizontal="center" vertical="center"/>
    </xf>
    <xf numFmtId="166" fontId="6" fillId="0" borderId="0" xfId="11" applyNumberFormat="1" applyFont="1" applyFill="1"/>
    <xf numFmtId="10" fontId="6" fillId="0" borderId="0" xfId="13" applyNumberFormat="1" applyFont="1" applyFill="1"/>
    <xf numFmtId="2" fontId="7" fillId="0" borderId="33" xfId="11" applyNumberFormat="1" applyFont="1" applyFill="1" applyBorder="1" applyAlignment="1">
      <alignment horizontal="left" vertical="center"/>
    </xf>
    <xf numFmtId="4" fontId="7" fillId="0" borderId="33" xfId="11" applyNumberFormat="1" applyFont="1" applyFill="1" applyBorder="1" applyAlignment="1">
      <alignment horizontal="center"/>
    </xf>
    <xf numFmtId="2" fontId="7" fillId="0" borderId="33" xfId="11" applyNumberFormat="1" applyFont="1" applyFill="1" applyBorder="1" applyAlignment="1">
      <alignment horizontal="center"/>
    </xf>
    <xf numFmtId="2" fontId="7" fillId="0" borderId="33" xfId="11" applyNumberFormat="1" applyFont="1" applyFill="1" applyBorder="1" applyAlignment="1">
      <alignment horizontal="right" vertical="center"/>
    </xf>
    <xf numFmtId="4" fontId="40" fillId="0" borderId="24" xfId="11" applyNumberFormat="1" applyFont="1" applyFill="1" applyBorder="1" applyAlignment="1">
      <alignment horizontal="right"/>
    </xf>
    <xf numFmtId="0" fontId="6" fillId="0" borderId="17" xfId="11" applyFont="1" applyFill="1" applyBorder="1"/>
    <xf numFmtId="0" fontId="6" fillId="0" borderId="0" xfId="11" applyFont="1" applyFill="1" applyBorder="1"/>
    <xf numFmtId="2" fontId="7" fillId="0" borderId="0" xfId="11" applyNumberFormat="1" applyFont="1" applyFill="1" applyBorder="1" applyAlignment="1">
      <alignment horizontal="left" vertical="center"/>
    </xf>
    <xf numFmtId="4" fontId="7" fillId="0" borderId="0" xfId="11" applyNumberFormat="1" applyFont="1" applyFill="1" applyBorder="1" applyAlignment="1">
      <alignment horizontal="center"/>
    </xf>
    <xf numFmtId="2" fontId="7" fillId="0" borderId="0" xfId="11" applyNumberFormat="1" applyFont="1" applyFill="1" applyBorder="1" applyAlignment="1">
      <alignment horizontal="center"/>
    </xf>
    <xf numFmtId="2" fontId="7" fillId="0" borderId="0" xfId="11" applyNumberFormat="1" applyFont="1" applyFill="1" applyBorder="1" applyAlignment="1">
      <alignment horizontal="right" vertical="center"/>
    </xf>
    <xf numFmtId="4" fontId="7" fillId="0" borderId="18" xfId="11" applyNumberFormat="1" applyFont="1" applyFill="1" applyBorder="1" applyAlignment="1">
      <alignment horizontal="center"/>
    </xf>
    <xf numFmtId="2" fontId="6" fillId="0" borderId="22" xfId="11" applyNumberFormat="1" applyFont="1" applyFill="1" applyBorder="1" applyAlignment="1">
      <alignment horizontal="center" vertical="center"/>
    </xf>
    <xf numFmtId="2" fontId="7" fillId="0" borderId="22" xfId="11" applyNumberFormat="1" applyFont="1" applyFill="1" applyBorder="1" applyAlignment="1">
      <alignment horizontal="center"/>
    </xf>
    <xf numFmtId="10" fontId="6" fillId="0" borderId="23" xfId="11" applyNumberFormat="1" applyFont="1" applyFill="1" applyBorder="1" applyAlignment="1">
      <alignment horizontal="center"/>
    </xf>
    <xf numFmtId="4" fontId="40" fillId="0" borderId="18" xfId="11" applyNumberFormat="1" applyFont="1" applyFill="1" applyBorder="1" applyAlignment="1">
      <alignment horizontal="right"/>
    </xf>
    <xf numFmtId="0" fontId="6" fillId="0" borderId="1" xfId="11" applyFont="1" applyBorder="1" applyAlignment="1">
      <alignment horizontal="center"/>
    </xf>
    <xf numFmtId="4" fontId="6" fillId="0" borderId="1" xfId="11" applyNumberFormat="1" applyFont="1" applyBorder="1" applyAlignment="1">
      <alignment horizontal="center"/>
    </xf>
    <xf numFmtId="171" fontId="6" fillId="0" borderId="1" xfId="11" applyNumberFormat="1" applyFont="1" applyBorder="1" applyAlignment="1">
      <alignment horizontal="center"/>
    </xf>
    <xf numFmtId="0" fontId="6" fillId="0" borderId="0" xfId="11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right"/>
    </xf>
    <xf numFmtId="168" fontId="0" fillId="0" borderId="0" xfId="0" applyNumberFormat="1" applyAlignment="1">
      <alignment horizontal="right"/>
    </xf>
    <xf numFmtId="17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169" fontId="0" fillId="0" borderId="0" xfId="0" applyNumberFormat="1" applyAlignment="1">
      <alignment horizontal="right"/>
    </xf>
    <xf numFmtId="169" fontId="0" fillId="0" borderId="0" xfId="0" applyNumberFormat="1" applyBorder="1" applyAlignment="1">
      <alignment horizontal="center"/>
    </xf>
    <xf numFmtId="169" fontId="0" fillId="0" borderId="0" xfId="0" applyNumberFormat="1" applyAlignment="1">
      <alignment horizontal="center" vertical="center"/>
    </xf>
    <xf numFmtId="2" fontId="0" fillId="0" borderId="8" xfId="0" applyNumberFormat="1" applyBorder="1"/>
    <xf numFmtId="169" fontId="0" fillId="0" borderId="0" xfId="0" applyNumberFormat="1"/>
    <xf numFmtId="169" fontId="0" fillId="0" borderId="8" xfId="0" applyNumberFormat="1" applyBorder="1"/>
    <xf numFmtId="0" fontId="0" fillId="2" borderId="47" xfId="0" applyFont="1" applyFill="1" applyBorder="1" applyAlignment="1">
      <alignment horizontal="center" vertical="center"/>
    </xf>
    <xf numFmtId="0" fontId="0" fillId="0" borderId="11" xfId="0" applyBorder="1" applyAlignment="1">
      <alignment horizontal="right"/>
    </xf>
    <xf numFmtId="169" fontId="0" fillId="0" borderId="0" xfId="0" applyNumberFormat="1" applyAlignment="1">
      <alignment vertical="center"/>
    </xf>
    <xf numFmtId="168" fontId="0" fillId="0" borderId="8" xfId="0" applyNumberFormat="1" applyBorder="1"/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right"/>
    </xf>
    <xf numFmtId="0" fontId="0" fillId="0" borderId="0" xfId="0" applyAlignment="1">
      <alignment horizontal="center"/>
    </xf>
    <xf numFmtId="168" fontId="0" fillId="0" borderId="0" xfId="0" applyNumberFormat="1" applyAlignment="1">
      <alignment horizontal="right"/>
    </xf>
    <xf numFmtId="17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27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166" fontId="27" fillId="0" borderId="1" xfId="0" applyNumberFormat="1" applyFont="1" applyFill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10" fontId="13" fillId="0" borderId="30" xfId="3" applyNumberFormat="1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168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8" fontId="0" fillId="0" borderId="0" xfId="0" applyNumberFormat="1" applyAlignment="1">
      <alignment horizontal="right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8" xfId="0" applyBorder="1" applyAlignment="1">
      <alignment horizontal="right"/>
    </xf>
    <xf numFmtId="170" fontId="0" fillId="0" borderId="0" xfId="0" applyNumberFormat="1" applyAlignment="1">
      <alignment horizontal="right"/>
    </xf>
    <xf numFmtId="0" fontId="0" fillId="0" borderId="11" xfId="0" applyBorder="1" applyAlignment="1">
      <alignment horizontal="right"/>
    </xf>
    <xf numFmtId="0" fontId="41" fillId="0" borderId="0" xfId="0" applyFont="1" applyBorder="1"/>
    <xf numFmtId="169" fontId="41" fillId="0" borderId="0" xfId="0" applyNumberFormat="1" applyFont="1" applyAlignment="1">
      <alignment horizontal="center"/>
    </xf>
    <xf numFmtId="0" fontId="41" fillId="0" borderId="0" xfId="0" applyFont="1" applyBorder="1" applyAlignment="1">
      <alignment horizontal="center"/>
    </xf>
    <xf numFmtId="0" fontId="41" fillId="0" borderId="0" xfId="0" applyFont="1"/>
    <xf numFmtId="168" fontId="0" fillId="0" borderId="0" xfId="0" applyNumberFormat="1" applyBorder="1"/>
    <xf numFmtId="0" fontId="41" fillId="0" borderId="0" xfId="0" applyFont="1" applyAlignment="1">
      <alignment horizontal="center"/>
    </xf>
    <xf numFmtId="0" fontId="41" fillId="0" borderId="0" xfId="0" applyFont="1" applyAlignment="1">
      <alignment horizontal="left"/>
    </xf>
    <xf numFmtId="169" fontId="41" fillId="0" borderId="0" xfId="0" applyNumberFormat="1" applyFont="1" applyBorder="1" applyAlignment="1">
      <alignment horizontal="center"/>
    </xf>
    <xf numFmtId="0" fontId="41" fillId="6" borderId="0" xfId="0" applyFont="1" applyFill="1" applyBorder="1"/>
    <xf numFmtId="169" fontId="41" fillId="6" borderId="0" xfId="0" applyNumberFormat="1" applyFont="1" applyFill="1" applyBorder="1" applyAlignment="1">
      <alignment horizontal="center"/>
    </xf>
    <xf numFmtId="0" fontId="41" fillId="6" borderId="0" xfId="0" applyFont="1" applyFill="1" applyBorder="1" applyAlignment="1">
      <alignment horizontal="center"/>
    </xf>
    <xf numFmtId="0" fontId="41" fillId="6" borderId="0" xfId="0" applyFont="1" applyFill="1"/>
    <xf numFmtId="0" fontId="4" fillId="0" borderId="0" xfId="0" applyFont="1" applyAlignment="1">
      <alignment horizontal="right"/>
    </xf>
    <xf numFmtId="0" fontId="42" fillId="0" borderId="0" xfId="0" applyFont="1" applyBorder="1"/>
    <xf numFmtId="0" fontId="42" fillId="0" borderId="0" xfId="0" applyFont="1" applyBorder="1" applyAlignment="1">
      <alignment horizontal="center"/>
    </xf>
    <xf numFmtId="0" fontId="42" fillId="0" borderId="0" xfId="0" applyFont="1" applyBorder="1" applyAlignment="1">
      <alignment horizontal="left"/>
    </xf>
    <xf numFmtId="44" fontId="42" fillId="0" borderId="0" xfId="1" applyFont="1" applyBorder="1" applyAlignment="1">
      <alignment horizontal="center"/>
    </xf>
    <xf numFmtId="0" fontId="42" fillId="0" borderId="0" xfId="0" applyFont="1" applyFill="1" applyBorder="1"/>
    <xf numFmtId="14" fontId="0" fillId="2" borderId="1" xfId="0" applyNumberFormat="1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0" fontId="42" fillId="0" borderId="5" xfId="0" applyFont="1" applyBorder="1"/>
    <xf numFmtId="0" fontId="42" fillId="0" borderId="6" xfId="0" applyFont="1" applyBorder="1" applyAlignment="1">
      <alignment horizontal="center"/>
    </xf>
    <xf numFmtId="0" fontId="37" fillId="0" borderId="0" xfId="4" applyFont="1"/>
    <xf numFmtId="2" fontId="37" fillId="0" borderId="0" xfId="4" applyNumberFormat="1" applyFont="1"/>
    <xf numFmtId="0" fontId="37" fillId="0" borderId="0" xfId="4" applyFont="1" applyFill="1"/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0" fontId="0" fillId="0" borderId="0" xfId="0" applyFill="1" applyBorder="1" applyAlignment="1">
      <alignment horizontal="center"/>
    </xf>
    <xf numFmtId="4" fontId="10" fillId="0" borderId="1" xfId="4" applyNumberFormat="1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168" fontId="0" fillId="0" borderId="8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8" fontId="0" fillId="0" borderId="0" xfId="0" applyNumberFormat="1" applyAlignment="1">
      <alignment horizontal="center"/>
    </xf>
    <xf numFmtId="168" fontId="0" fillId="0" borderId="0" xfId="0" applyNumberFormat="1" applyAlignment="1">
      <alignment horizontal="right"/>
    </xf>
    <xf numFmtId="170" fontId="0" fillId="0" borderId="0" xfId="0" applyNumberFormat="1" applyAlignment="1">
      <alignment horizontal="right"/>
    </xf>
    <xf numFmtId="0" fontId="0" fillId="0" borderId="8" xfId="0" applyBorder="1" applyAlignment="1">
      <alignment horizontal="left"/>
    </xf>
    <xf numFmtId="17" fontId="0" fillId="0" borderId="11" xfId="0" applyNumberFormat="1" applyFont="1" applyFill="1" applyBorder="1" applyAlignment="1">
      <alignment horizontal="left" vertical="top" wrapText="1"/>
    </xf>
    <xf numFmtId="10" fontId="0" fillId="4" borderId="1" xfId="0" applyNumberFormat="1" applyFont="1" applyFill="1" applyBorder="1"/>
    <xf numFmtId="10" fontId="1" fillId="2" borderId="1" xfId="2" applyNumberFormat="1" applyFont="1" applyFill="1" applyBorder="1"/>
    <xf numFmtId="1" fontId="10" fillId="0" borderId="0" xfId="4" applyNumberFormat="1" applyFont="1" applyFill="1" applyBorder="1" applyAlignment="1">
      <alignment horizontal="center" vertical="center"/>
    </xf>
    <xf numFmtId="2" fontId="10" fillId="0" borderId="0" xfId="4" applyNumberFormat="1" applyFont="1" applyFill="1" applyBorder="1" applyAlignment="1">
      <alignment horizontal="center" vertical="center"/>
    </xf>
    <xf numFmtId="1" fontId="10" fillId="0" borderId="1" xfId="4" applyNumberFormat="1" applyFont="1" applyFill="1" applyBorder="1" applyAlignment="1">
      <alignment horizontal="center" vertical="center"/>
    </xf>
    <xf numFmtId="44" fontId="3" fillId="0" borderId="0" xfId="1" applyFont="1" applyFill="1" applyBorder="1" applyAlignment="1">
      <alignment horizontal="center"/>
    </xf>
    <xf numFmtId="44" fontId="0" fillId="0" borderId="0" xfId="1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/>
    </xf>
    <xf numFmtId="44" fontId="0" fillId="0" borderId="0" xfId="1" applyFont="1" applyFill="1" applyBorder="1" applyAlignment="1">
      <alignment horizontal="right" vertical="center"/>
    </xf>
    <xf numFmtId="44" fontId="1" fillId="0" borderId="0" xfId="1" applyFont="1" applyFill="1" applyBorder="1" applyAlignment="1">
      <alignment horizontal="right" vertical="center"/>
    </xf>
    <xf numFmtId="44" fontId="0" fillId="0" borderId="0" xfId="1" applyFont="1" applyFill="1" applyAlignment="1">
      <alignment horizontal="center"/>
    </xf>
    <xf numFmtId="44" fontId="0" fillId="0" borderId="0" xfId="1" applyFont="1" applyFill="1" applyBorder="1" applyAlignment="1">
      <alignment horizontal="left"/>
    </xf>
    <xf numFmtId="0" fontId="0" fillId="0" borderId="0" xfId="0" applyAlignment="1">
      <alignment horizontal="center"/>
    </xf>
    <xf numFmtId="4" fontId="6" fillId="0" borderId="0" xfId="4" applyNumberFormat="1" applyFont="1" applyFill="1"/>
    <xf numFmtId="44" fontId="44" fillId="4" borderId="1" xfId="1" applyFont="1" applyFill="1" applyBorder="1" applyAlignment="1">
      <alignment vertical="center"/>
    </xf>
    <xf numFmtId="43" fontId="4" fillId="0" borderId="0" xfId="2" applyFont="1"/>
    <xf numFmtId="0" fontId="0" fillId="0" borderId="3" xfId="0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14" fontId="6" fillId="0" borderId="0" xfId="4" applyNumberFormat="1" applyFont="1" applyFill="1"/>
    <xf numFmtId="14" fontId="11" fillId="0" borderId="1" xfId="18" applyNumberFormat="1" applyFont="1" applyBorder="1" applyAlignment="1">
      <alignment horizontal="center" vertical="center"/>
    </xf>
    <xf numFmtId="14" fontId="11" fillId="0" borderId="1" xfId="6" applyNumberFormat="1" applyFont="1" applyBorder="1" applyAlignment="1">
      <alignment horizontal="center" vertical="center"/>
    </xf>
    <xf numFmtId="0" fontId="10" fillId="0" borderId="5" xfId="4" applyFont="1" applyBorder="1" applyAlignment="1">
      <alignment horizontal="center"/>
    </xf>
    <xf numFmtId="0" fontId="6" fillId="0" borderId="6" xfId="4" applyFont="1" applyBorder="1" applyAlignment="1">
      <alignment horizontal="center"/>
    </xf>
    <xf numFmtId="1" fontId="10" fillId="0" borderId="5" xfId="4" applyNumberFormat="1" applyFont="1" applyFill="1" applyBorder="1" applyAlignment="1">
      <alignment horizontal="center" vertical="center"/>
    </xf>
    <xf numFmtId="0" fontId="10" fillId="0" borderId="6" xfId="4" applyFont="1" applyFill="1" applyBorder="1" applyAlignment="1">
      <alignment horizontal="center"/>
    </xf>
    <xf numFmtId="0" fontId="0" fillId="0" borderId="0" xfId="0" applyFont="1" applyBorder="1"/>
    <xf numFmtId="0" fontId="47" fillId="0" borderId="10" xfId="0" applyFont="1" applyBorder="1" applyAlignment="1">
      <alignment horizontal="left"/>
    </xf>
    <xf numFmtId="0" fontId="47" fillId="0" borderId="11" xfId="0" applyFont="1" applyBorder="1" applyAlignment="1">
      <alignment horizontal="left"/>
    </xf>
    <xf numFmtId="0" fontId="47" fillId="0" borderId="12" xfId="0" applyFont="1" applyBorder="1" applyAlignment="1">
      <alignment horizontal="right"/>
    </xf>
    <xf numFmtId="0" fontId="50" fillId="0" borderId="1" xfId="0" applyFont="1" applyBorder="1" applyAlignment="1">
      <alignment horizontal="left" vertical="center" wrapText="1"/>
    </xf>
    <xf numFmtId="2" fontId="50" fillId="0" borderId="1" xfId="0" applyNumberFormat="1" applyFont="1" applyBorder="1" applyAlignment="1">
      <alignment horizontal="right" vertical="center" wrapText="1"/>
    </xf>
    <xf numFmtId="0" fontId="50" fillId="0" borderId="1" xfId="0" applyFont="1" applyBorder="1" applyAlignment="1">
      <alignment horizontal="right" vertical="center" wrapText="1"/>
    </xf>
    <xf numFmtId="0" fontId="48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2" borderId="54" xfId="0" applyFont="1" applyFill="1" applyBorder="1" applyAlignment="1">
      <alignment horizontal="center" vertical="center"/>
    </xf>
    <xf numFmtId="0" fontId="0" fillId="2" borderId="62" xfId="0" applyFont="1" applyFill="1" applyBorder="1" applyAlignment="1">
      <alignment horizontal="center" vertical="center"/>
    </xf>
    <xf numFmtId="17" fontId="30" fillId="2" borderId="1" xfId="0" applyNumberFormat="1" applyFont="1" applyFill="1" applyBorder="1" applyAlignment="1">
      <alignment horizontal="center" vertical="center"/>
    </xf>
    <xf numFmtId="17" fontId="29" fillId="2" borderId="0" xfId="0" applyNumberFormat="1" applyFont="1" applyFill="1" applyBorder="1"/>
    <xf numFmtId="17" fontId="29" fillId="2" borderId="5" xfId="0" applyNumberFormat="1" applyFont="1" applyFill="1" applyBorder="1"/>
    <xf numFmtId="169" fontId="29" fillId="2" borderId="6" xfId="0" applyNumberFormat="1" applyFont="1" applyFill="1" applyBorder="1"/>
    <xf numFmtId="169" fontId="29" fillId="2" borderId="25" xfId="0" applyNumberFormat="1" applyFont="1" applyFill="1" applyBorder="1" applyAlignment="1"/>
    <xf numFmtId="169" fontId="29" fillId="2" borderId="59" xfId="0" applyNumberFormat="1" applyFont="1" applyFill="1" applyBorder="1" applyAlignment="1"/>
    <xf numFmtId="169" fontId="29" fillId="2" borderId="30" xfId="0" applyNumberFormat="1" applyFont="1" applyFill="1" applyBorder="1" applyAlignment="1"/>
    <xf numFmtId="0" fontId="0" fillId="2" borderId="75" xfId="0" applyFont="1" applyFill="1" applyBorder="1" applyAlignment="1">
      <alignment horizontal="center"/>
    </xf>
    <xf numFmtId="0" fontId="0" fillId="2" borderId="76" xfId="0" applyFont="1" applyFill="1" applyBorder="1" applyAlignment="1">
      <alignment horizontal="left"/>
    </xf>
    <xf numFmtId="0" fontId="0" fillId="2" borderId="76" xfId="0" applyFont="1" applyFill="1" applyBorder="1"/>
    <xf numFmtId="44" fontId="0" fillId="2" borderId="76" xfId="0" applyNumberFormat="1" applyFont="1" applyFill="1" applyBorder="1"/>
    <xf numFmtId="44" fontId="0" fillId="2" borderId="76" xfId="0" applyNumberFormat="1" applyFont="1" applyFill="1" applyBorder="1" applyAlignment="1">
      <alignment horizontal="center"/>
    </xf>
    <xf numFmtId="44" fontId="1" fillId="2" borderId="76" xfId="1" applyFont="1" applyFill="1" applyBorder="1"/>
    <xf numFmtId="43" fontId="1" fillId="2" borderId="76" xfId="2" applyFont="1" applyFill="1" applyBorder="1"/>
    <xf numFmtId="0" fontId="0" fillId="2" borderId="76" xfId="0" applyFont="1" applyFill="1" applyBorder="1" applyAlignment="1">
      <alignment horizontal="left" wrapText="1"/>
    </xf>
    <xf numFmtId="2" fontId="0" fillId="2" borderId="76" xfId="0" applyNumberFormat="1" applyFont="1" applyFill="1" applyBorder="1"/>
    <xf numFmtId="0" fontId="0" fillId="2" borderId="76" xfId="0" applyFont="1" applyFill="1" applyBorder="1" applyAlignment="1">
      <alignment horizontal="center"/>
    </xf>
    <xf numFmtId="0" fontId="0" fillId="2" borderId="77" xfId="0" applyFont="1" applyFill="1" applyBorder="1" applyAlignment="1">
      <alignment horizontal="center"/>
    </xf>
    <xf numFmtId="0" fontId="0" fillId="2" borderId="76" xfId="0" applyFont="1" applyFill="1" applyBorder="1" applyAlignment="1">
      <alignment wrapText="1"/>
    </xf>
    <xf numFmtId="165" fontId="1" fillId="2" borderId="77" xfId="2" applyNumberFormat="1" applyFont="1" applyFill="1" applyBorder="1" applyAlignment="1">
      <alignment horizontal="right"/>
    </xf>
    <xf numFmtId="165" fontId="1" fillId="2" borderId="77" xfId="2" applyNumberFormat="1" applyFont="1" applyFill="1" applyBorder="1" applyAlignment="1">
      <alignment horizontal="center"/>
    </xf>
    <xf numFmtId="0" fontId="0" fillId="2" borderId="76" xfId="0" applyFont="1" applyFill="1" applyBorder="1" applyAlignment="1">
      <alignment horizontal="center" wrapText="1"/>
    </xf>
    <xf numFmtId="3" fontId="0" fillId="2" borderId="77" xfId="0" applyNumberFormat="1" applyFont="1" applyFill="1" applyBorder="1" applyAlignment="1">
      <alignment horizontal="right"/>
    </xf>
    <xf numFmtId="0" fontId="0" fillId="2" borderId="77" xfId="0" applyFont="1" applyFill="1" applyBorder="1" applyAlignment="1">
      <alignment horizontal="right"/>
    </xf>
    <xf numFmtId="0" fontId="0" fillId="2" borderId="78" xfId="0" applyFont="1" applyFill="1" applyBorder="1" applyAlignment="1">
      <alignment horizontal="center"/>
    </xf>
    <xf numFmtId="0" fontId="5" fillId="2" borderId="79" xfId="0" applyFont="1" applyFill="1" applyBorder="1"/>
    <xf numFmtId="0" fontId="0" fillId="2" borderId="79" xfId="0" applyFont="1" applyFill="1" applyBorder="1"/>
    <xf numFmtId="43" fontId="1" fillId="2" borderId="79" xfId="2" applyFont="1" applyFill="1" applyBorder="1"/>
    <xf numFmtId="44" fontId="1" fillId="2" borderId="79" xfId="1" applyFont="1" applyFill="1" applyBorder="1"/>
    <xf numFmtId="0" fontId="48" fillId="0" borderId="0" xfId="0" applyFont="1" applyFill="1" applyBorder="1" applyAlignment="1">
      <alignment horizontal="center"/>
    </xf>
    <xf numFmtId="0" fontId="48" fillId="0" borderId="0" xfId="0" applyFont="1" applyAlignment="1">
      <alignment horizontal="left"/>
    </xf>
    <xf numFmtId="0" fontId="49" fillId="0" borderId="1" xfId="0" applyFont="1" applyBorder="1" applyAlignment="1">
      <alignment horizontal="center"/>
    </xf>
    <xf numFmtId="0" fontId="42" fillId="3" borderId="1" xfId="0" applyFont="1" applyFill="1" applyBorder="1" applyAlignment="1">
      <alignment horizontal="center" vertical="center"/>
    </xf>
    <xf numFmtId="0" fontId="53" fillId="0" borderId="0" xfId="0" applyFont="1" applyBorder="1" applyAlignment="1">
      <alignment vertical="center"/>
    </xf>
    <xf numFmtId="0" fontId="53" fillId="0" borderId="0" xfId="0" applyFont="1" applyBorder="1" applyAlignment="1">
      <alignment horizontal="center" vertical="center"/>
    </xf>
    <xf numFmtId="0" fontId="53" fillId="0" borderId="6" xfId="0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4" fontId="0" fillId="3" borderId="1" xfId="0" applyNumberFormat="1" applyFont="1" applyFill="1" applyBorder="1" applyAlignment="1">
      <alignment vertical="center"/>
    </xf>
    <xf numFmtId="2" fontId="0" fillId="6" borderId="1" xfId="0" applyNumberFormat="1" applyFont="1" applyFill="1" applyBorder="1" applyAlignment="1">
      <alignment vertical="center"/>
    </xf>
    <xf numFmtId="44" fontId="42" fillId="3" borderId="1" xfId="1" applyFont="1" applyFill="1" applyBorder="1" applyAlignment="1">
      <alignment vertical="center"/>
    </xf>
    <xf numFmtId="43" fontId="1" fillId="6" borderId="1" xfId="2" applyNumberFormat="1" applyFont="1" applyFill="1" applyBorder="1" applyAlignment="1">
      <alignment vertical="center"/>
    </xf>
    <xf numFmtId="44" fontId="42" fillId="3" borderId="1" xfId="0" applyNumberFormat="1" applyFont="1" applyFill="1" applyBorder="1" applyAlignment="1">
      <alignment vertical="center"/>
    </xf>
    <xf numFmtId="0" fontId="42" fillId="3" borderId="1" xfId="0" applyFont="1" applyFill="1" applyBorder="1" applyAlignment="1">
      <alignment horizontal="right"/>
    </xf>
    <xf numFmtId="14" fontId="0" fillId="0" borderId="0" xfId="0" applyNumberFormat="1" applyBorder="1" applyAlignment="1">
      <alignment horizontal="left"/>
    </xf>
    <xf numFmtId="17" fontId="25" fillId="2" borderId="1" xfId="0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/>
    </xf>
    <xf numFmtId="14" fontId="25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0" fontId="1" fillId="2" borderId="77" xfId="3" applyNumberFormat="1" applyFont="1" applyFill="1" applyBorder="1" applyAlignment="1">
      <alignment horizontal="center"/>
    </xf>
    <xf numFmtId="44" fontId="1" fillId="2" borderId="79" xfId="1" applyNumberFormat="1" applyFont="1" applyFill="1" applyBorder="1"/>
    <xf numFmtId="10" fontId="1" fillId="2" borderId="80" xfId="3" applyNumberFormat="1" applyFont="1" applyFill="1" applyBorder="1"/>
    <xf numFmtId="0" fontId="0" fillId="2" borderId="1" xfId="0" applyFont="1" applyFill="1" applyBorder="1" applyAlignment="1">
      <alignment horizontal="center" vertical="center"/>
    </xf>
    <xf numFmtId="9" fontId="1" fillId="4" borderId="1" xfId="3" applyFont="1" applyFill="1" applyBorder="1"/>
    <xf numFmtId="9" fontId="1" fillId="2" borderId="1" xfId="3" applyFont="1" applyFill="1" applyBorder="1"/>
    <xf numFmtId="0" fontId="4" fillId="6" borderId="7" xfId="0" applyFont="1" applyFill="1" applyBorder="1" applyAlignment="1"/>
    <xf numFmtId="0" fontId="4" fillId="6" borderId="8" xfId="0" applyFont="1" applyFill="1" applyBorder="1" applyAlignment="1"/>
    <xf numFmtId="0" fontId="4" fillId="6" borderId="9" xfId="0" applyFont="1" applyFill="1" applyBorder="1" applyAlignment="1"/>
    <xf numFmtId="0" fontId="16" fillId="0" borderId="30" xfId="0" applyFont="1" applyBorder="1" applyAlignment="1">
      <alignment horizontal="center" vertical="center" wrapText="1"/>
    </xf>
    <xf numFmtId="17" fontId="16" fillId="0" borderId="0" xfId="0" applyNumberFormat="1" applyFont="1" applyBorder="1" applyAlignment="1">
      <alignment vertical="center" wrapText="1"/>
    </xf>
    <xf numFmtId="17" fontId="16" fillId="0" borderId="30" xfId="0" applyNumberFormat="1" applyFont="1" applyBorder="1" applyAlignment="1">
      <alignment horizontal="center" vertical="center" wrapText="1"/>
    </xf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0" fillId="3" borderId="7" xfId="0" applyFont="1" applyFill="1" applyBorder="1" applyAlignment="1"/>
    <xf numFmtId="0" fontId="0" fillId="3" borderId="8" xfId="0" applyFont="1" applyFill="1" applyBorder="1" applyAlignment="1"/>
    <xf numFmtId="0" fontId="0" fillId="3" borderId="9" xfId="0" applyFont="1" applyFill="1" applyBorder="1" applyAlignment="1"/>
    <xf numFmtId="0" fontId="18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0" fillId="3" borderId="3" xfId="0" applyFont="1" applyFill="1" applyBorder="1"/>
    <xf numFmtId="0" fontId="0" fillId="3" borderId="25" xfId="0" applyFont="1" applyFill="1" applyBorder="1" applyAlignment="1">
      <alignment horizontal="center"/>
    </xf>
    <xf numFmtId="44" fontId="1" fillId="0" borderId="1" xfId="14" applyFont="1" applyBorder="1" applyAlignment="1">
      <alignment horizontal="center" vertical="center" wrapText="1"/>
    </xf>
    <xf numFmtId="0" fontId="0" fillId="3" borderId="1" xfId="0" applyFont="1" applyFill="1" applyBorder="1" applyAlignment="1">
      <alignment vertical="center"/>
    </xf>
    <xf numFmtId="17" fontId="0" fillId="3" borderId="1" xfId="0" applyNumberFormat="1" applyFont="1" applyFill="1" applyBorder="1" applyAlignment="1">
      <alignment horizontal="center" vertical="center"/>
    </xf>
    <xf numFmtId="17" fontId="33" fillId="5" borderId="72" xfId="4" applyNumberFormat="1" applyFont="1" applyFill="1" applyBorder="1" applyAlignment="1">
      <alignment horizontal="center" vertical="center"/>
    </xf>
    <xf numFmtId="49" fontId="33" fillId="5" borderId="73" xfId="4" applyNumberFormat="1" applyFont="1" applyFill="1" applyBorder="1" applyAlignment="1">
      <alignment horizontal="center"/>
    </xf>
    <xf numFmtId="169" fontId="33" fillId="5" borderId="74" xfId="4" applyNumberFormat="1" applyFont="1" applyFill="1" applyBorder="1" applyAlignment="1">
      <alignment horizontal="center"/>
    </xf>
    <xf numFmtId="17" fontId="0" fillId="2" borderId="58" xfId="0" applyNumberFormat="1" applyFont="1" applyFill="1" applyBorder="1" applyAlignment="1">
      <alignment horizontal="center" vertical="center"/>
    </xf>
    <xf numFmtId="17" fontId="0" fillId="2" borderId="56" xfId="0" applyNumberFormat="1" applyFont="1" applyFill="1" applyBorder="1" applyAlignment="1">
      <alignment horizontal="center" vertical="center"/>
    </xf>
    <xf numFmtId="17" fontId="0" fillId="2" borderId="61" xfId="0" applyNumberFormat="1" applyFont="1" applyFill="1" applyBorder="1" applyAlignment="1">
      <alignment horizontal="center" vertical="center"/>
    </xf>
    <xf numFmtId="0" fontId="0" fillId="0" borderId="10" xfId="0" applyFont="1" applyBorder="1"/>
    <xf numFmtId="0" fontId="0" fillId="0" borderId="12" xfId="0" applyFont="1" applyBorder="1"/>
    <xf numFmtId="0" fontId="0" fillId="0" borderId="0" xfId="0" applyFont="1" applyAlignment="1"/>
    <xf numFmtId="0" fontId="55" fillId="0" borderId="0" xfId="24" applyFont="1" applyAlignment="1" applyProtection="1"/>
    <xf numFmtId="0" fontId="0" fillId="2" borderId="0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44" fontId="1" fillId="2" borderId="1" xfId="14" applyFont="1" applyFill="1" applyBorder="1" applyAlignment="1">
      <alignment horizontal="center" vertical="top" wrapText="1"/>
    </xf>
    <xf numFmtId="44" fontId="27" fillId="4" borderId="1" xfId="1" applyNumberFormat="1" applyFont="1" applyFill="1" applyBorder="1" applyAlignment="1">
      <alignment vertical="center"/>
    </xf>
    <xf numFmtId="44" fontId="44" fillId="4" borderId="1" xfId="1" applyNumberFormat="1" applyFont="1" applyFill="1" applyBorder="1" applyAlignment="1">
      <alignment vertical="center"/>
    </xf>
    <xf numFmtId="0" fontId="0" fillId="0" borderId="0" xfId="0" applyFont="1" applyAlignment="1">
      <alignment horizontal="center"/>
    </xf>
    <xf numFmtId="44" fontId="4" fillId="0" borderId="0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175" fontId="0" fillId="0" borderId="55" xfId="0" applyNumberFormat="1" applyFont="1" applyBorder="1" applyAlignment="1">
      <alignment horizontal="center" vertical="center"/>
    </xf>
    <xf numFmtId="175" fontId="0" fillId="0" borderId="57" xfId="0" applyNumberFormat="1" applyFont="1" applyBorder="1" applyAlignment="1">
      <alignment horizontal="center" vertical="center"/>
    </xf>
    <xf numFmtId="175" fontId="0" fillId="0" borderId="63" xfId="0" applyNumberFormat="1" applyFont="1" applyBorder="1" applyAlignment="1">
      <alignment horizontal="center" vertical="center"/>
    </xf>
    <xf numFmtId="44" fontId="27" fillId="4" borderId="1" xfId="1" applyFont="1" applyFill="1" applyBorder="1" applyAlignment="1">
      <alignment vertical="center"/>
    </xf>
    <xf numFmtId="0" fontId="6" fillId="0" borderId="0" xfId="17" applyFont="1"/>
    <xf numFmtId="0" fontId="6" fillId="0" borderId="0" xfId="17" applyFont="1" applyFill="1"/>
    <xf numFmtId="2" fontId="10" fillId="5" borderId="1" xfId="17" applyNumberFormat="1" applyFont="1" applyFill="1" applyBorder="1" applyAlignment="1">
      <alignment horizontal="center"/>
    </xf>
    <xf numFmtId="2" fontId="10" fillId="0" borderId="1" xfId="17" applyNumberFormat="1" applyFont="1" applyFill="1" applyBorder="1" applyAlignment="1">
      <alignment horizontal="center" vertical="center"/>
    </xf>
    <xf numFmtId="2" fontId="10" fillId="0" borderId="1" xfId="17" applyNumberFormat="1" applyFont="1" applyFill="1" applyBorder="1" applyAlignment="1">
      <alignment horizontal="center"/>
    </xf>
    <xf numFmtId="2" fontId="11" fillId="0" borderId="11" xfId="4" applyNumberFormat="1" applyFont="1" applyFill="1" applyBorder="1" applyAlignment="1">
      <alignment horizontal="right" vertical="center"/>
    </xf>
    <xf numFmtId="4" fontId="11" fillId="0" borderId="12" xfId="4" applyNumberFormat="1" applyFont="1" applyFill="1" applyBorder="1" applyAlignment="1">
      <alignment horizontal="center"/>
    </xf>
    <xf numFmtId="4" fontId="11" fillId="0" borderId="1" xfId="4" applyNumberFormat="1" applyFont="1" applyFill="1" applyBorder="1" applyAlignment="1">
      <alignment horizontal="center"/>
    </xf>
    <xf numFmtId="1" fontId="11" fillId="0" borderId="5" xfId="4" applyNumberFormat="1" applyFont="1" applyFill="1" applyBorder="1" applyAlignment="1">
      <alignment horizontal="right" vertical="center"/>
    </xf>
    <xf numFmtId="1" fontId="11" fillId="0" borderId="0" xfId="4" applyNumberFormat="1" applyFont="1" applyFill="1" applyBorder="1" applyAlignment="1">
      <alignment horizontal="right" vertical="center"/>
    </xf>
    <xf numFmtId="2" fontId="11" fillId="0" borderId="0" xfId="4" applyNumberFormat="1" applyFont="1" applyFill="1" applyBorder="1" applyAlignment="1">
      <alignment horizontal="right" vertical="center"/>
    </xf>
    <xf numFmtId="4" fontId="11" fillId="0" borderId="6" xfId="4" applyNumberFormat="1" applyFont="1" applyFill="1" applyBorder="1" applyAlignment="1">
      <alignment horizontal="center"/>
    </xf>
    <xf numFmtId="1" fontId="11" fillId="0" borderId="7" xfId="4" applyNumberFormat="1" applyFont="1" applyFill="1" applyBorder="1" applyAlignment="1">
      <alignment horizontal="right" vertical="center"/>
    </xf>
    <xf numFmtId="1" fontId="11" fillId="0" borderId="8" xfId="4" applyNumberFormat="1" applyFont="1" applyFill="1" applyBorder="1" applyAlignment="1">
      <alignment horizontal="right" vertical="center"/>
    </xf>
    <xf numFmtId="2" fontId="11" fillId="0" borderId="8" xfId="4" applyNumberFormat="1" applyFont="1" applyFill="1" applyBorder="1" applyAlignment="1">
      <alignment horizontal="right" vertical="center"/>
    </xf>
    <xf numFmtId="4" fontId="11" fillId="0" borderId="9" xfId="4" applyNumberFormat="1" applyFont="1" applyFill="1" applyBorder="1" applyAlignment="1">
      <alignment horizontal="center"/>
    </xf>
    <xf numFmtId="1" fontId="11" fillId="0" borderId="2" xfId="4" applyNumberFormat="1" applyFont="1" applyFill="1" applyBorder="1" applyAlignment="1">
      <alignment horizontal="right" vertical="center"/>
    </xf>
    <xf numFmtId="1" fontId="11" fillId="0" borderId="3" xfId="4" applyNumberFormat="1" applyFont="1" applyFill="1" applyBorder="1" applyAlignment="1">
      <alignment horizontal="right" vertical="center"/>
    </xf>
    <xf numFmtId="2" fontId="11" fillId="0" borderId="3" xfId="4" applyNumberFormat="1" applyFont="1" applyFill="1" applyBorder="1" applyAlignment="1">
      <alignment horizontal="right" vertical="center"/>
    </xf>
    <xf numFmtId="4" fontId="11" fillId="0" borderId="4" xfId="4" applyNumberFormat="1" applyFont="1" applyFill="1" applyBorder="1" applyAlignment="1">
      <alignment horizontal="center"/>
    </xf>
    <xf numFmtId="4" fontId="10" fillId="0" borderId="1" xfId="17" applyNumberFormat="1" applyFont="1" applyFill="1" applyBorder="1" applyAlignment="1">
      <alignment horizontal="center"/>
    </xf>
    <xf numFmtId="2" fontId="6" fillId="0" borderId="0" xfId="17" applyNumberFormat="1" applyFont="1"/>
    <xf numFmtId="0" fontId="11" fillId="0" borderId="1" xfId="18" applyFont="1" applyBorder="1" applyAlignment="1">
      <alignment horizontal="center" vertical="center"/>
    </xf>
    <xf numFmtId="168" fontId="6" fillId="0" borderId="0" xfId="17" applyNumberFormat="1" applyFont="1" applyFill="1"/>
    <xf numFmtId="166" fontId="10" fillId="0" borderId="1" xfId="17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0" fontId="10" fillId="5" borderId="1" xfId="17" applyFont="1" applyFill="1" applyBorder="1" applyAlignment="1">
      <alignment horizontal="center"/>
    </xf>
    <xf numFmtId="1" fontId="11" fillId="0" borderId="10" xfId="4" applyNumberFormat="1" applyFont="1" applyFill="1" applyBorder="1" applyAlignment="1">
      <alignment horizontal="right" vertical="center"/>
    </xf>
    <xf numFmtId="1" fontId="11" fillId="0" borderId="11" xfId="4" applyNumberFormat="1" applyFont="1" applyFill="1" applyBorder="1" applyAlignment="1">
      <alignment horizontal="right" vertical="center"/>
    </xf>
    <xf numFmtId="0" fontId="42" fillId="0" borderId="5" xfId="0" applyFont="1" applyBorder="1" applyAlignment="1">
      <alignment horizontal="left" vertical="center"/>
    </xf>
    <xf numFmtId="4" fontId="11" fillId="0" borderId="25" xfId="4" applyNumberFormat="1" applyFont="1" applyFill="1" applyBorder="1" applyAlignment="1">
      <alignment horizontal="center"/>
    </xf>
    <xf numFmtId="2" fontId="47" fillId="0" borderId="1" xfId="0" applyNumberFormat="1" applyFont="1" applyFill="1" applyBorder="1" applyAlignment="1">
      <alignment horizontal="right"/>
    </xf>
    <xf numFmtId="10" fontId="27" fillId="4" borderId="1" xfId="0" applyNumberFormat="1" applyFont="1" applyFill="1" applyBorder="1"/>
    <xf numFmtId="10" fontId="27" fillId="2" borderId="1" xfId="2" applyNumberFormat="1" applyFont="1" applyFill="1" applyBorder="1"/>
    <xf numFmtId="44" fontId="27" fillId="2" borderId="79" xfId="1" applyFont="1" applyFill="1" applyBorder="1"/>
    <xf numFmtId="44" fontId="27" fillId="2" borderId="76" xfId="0" applyNumberFormat="1" applyFont="1" applyFill="1" applyBorder="1" applyAlignment="1">
      <alignment horizontal="center"/>
    </xf>
    <xf numFmtId="10" fontId="27" fillId="2" borderId="77" xfId="3" applyNumberFormat="1" applyFont="1" applyFill="1" applyBorder="1" applyAlignment="1">
      <alignment horizontal="center"/>
    </xf>
    <xf numFmtId="44" fontId="27" fillId="2" borderId="76" xfId="1" applyFont="1" applyFill="1" applyBorder="1"/>
    <xf numFmtId="44" fontId="44" fillId="3" borderId="1" xfId="0" applyNumberFormat="1" applyFont="1" applyFill="1" applyBorder="1"/>
    <xf numFmtId="2" fontId="10" fillId="0" borderId="1" xfId="4" applyNumberFormat="1" applyFont="1" applyFill="1" applyBorder="1" applyAlignment="1">
      <alignment horizontal="center" vertical="center"/>
    </xf>
    <xf numFmtId="0" fontId="42" fillId="3" borderId="1" xfId="0" applyFont="1" applyFill="1" applyBorder="1" applyAlignment="1">
      <alignment horizontal="right"/>
    </xf>
    <xf numFmtId="0" fontId="42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54" fillId="0" borderId="1" xfId="0" applyFont="1" applyBorder="1" applyAlignment="1">
      <alignment horizontal="center" vertical="center"/>
    </xf>
    <xf numFmtId="0" fontId="49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right" vertical="center"/>
    </xf>
    <xf numFmtId="17" fontId="16" fillId="2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4" fontId="0" fillId="0" borderId="1" xfId="0" applyNumberFormat="1" applyFont="1" applyFill="1" applyBorder="1" applyAlignment="1">
      <alignment vertical="center"/>
    </xf>
    <xf numFmtId="2" fontId="0" fillId="0" borderId="1" xfId="0" applyNumberFormat="1" applyFont="1" applyFill="1" applyBorder="1" applyAlignment="1">
      <alignment vertical="center"/>
    </xf>
    <xf numFmtId="44" fontId="27" fillId="0" borderId="1" xfId="1" applyFont="1" applyFill="1" applyBorder="1" applyAlignment="1">
      <alignment vertical="center"/>
    </xf>
    <xf numFmtId="10" fontId="42" fillId="0" borderId="1" xfId="3" applyNumberFormat="1" applyFont="1" applyFill="1" applyBorder="1" applyAlignment="1">
      <alignment vertical="center"/>
    </xf>
    <xf numFmtId="44" fontId="1" fillId="0" borderId="1" xfId="1" applyFont="1" applyFill="1" applyBorder="1" applyAlignment="1">
      <alignment vertical="center"/>
    </xf>
    <xf numFmtId="44" fontId="1" fillId="0" borderId="1" xfId="1" applyNumberFormat="1" applyFont="1" applyFill="1" applyBorder="1" applyAlignment="1">
      <alignment vertical="center"/>
    </xf>
    <xf numFmtId="165" fontId="1" fillId="0" borderId="1" xfId="2" applyNumberFormat="1" applyFont="1" applyFill="1" applyBorder="1" applyAlignment="1">
      <alignment horizontal="right" vertical="center"/>
    </xf>
    <xf numFmtId="1" fontId="1" fillId="0" borderId="1" xfId="2" applyNumberFormat="1" applyFont="1" applyFill="1" applyBorder="1" applyAlignment="1">
      <alignment vertical="center"/>
    </xf>
    <xf numFmtId="2" fontId="1" fillId="0" borderId="1" xfId="2" applyNumberFormat="1" applyFont="1" applyFill="1" applyBorder="1" applyAlignment="1">
      <alignment vertical="center"/>
    </xf>
    <xf numFmtId="4" fontId="1" fillId="0" borderId="1" xfId="2" applyNumberFormat="1" applyFont="1" applyFill="1" applyBorder="1" applyAlignment="1">
      <alignment vertical="center"/>
    </xf>
    <xf numFmtId="43" fontId="1" fillId="0" borderId="1" xfId="2" applyNumberFormat="1" applyFont="1" applyFill="1" applyBorder="1" applyAlignment="1">
      <alignment vertical="center"/>
    </xf>
    <xf numFmtId="44" fontId="27" fillId="0" borderId="1" xfId="1" applyNumberFormat="1" applyFont="1" applyFill="1" applyBorder="1" applyAlignment="1">
      <alignment vertical="center"/>
    </xf>
    <xf numFmtId="43" fontId="0" fillId="0" borderId="1" xfId="0" applyNumberFormat="1" applyFont="1" applyFill="1" applyBorder="1" applyAlignment="1">
      <alignment vertical="center"/>
    </xf>
    <xf numFmtId="0" fontId="44" fillId="0" borderId="1" xfId="0" applyFont="1" applyFill="1" applyBorder="1" applyAlignment="1">
      <alignment vertical="center" wrapText="1"/>
    </xf>
    <xf numFmtId="0" fontId="42" fillId="0" borderId="1" xfId="0" applyFont="1" applyFill="1" applyBorder="1" applyAlignment="1">
      <alignment vertical="center"/>
    </xf>
    <xf numFmtId="43" fontId="42" fillId="0" borderId="1" xfId="2" applyNumberFormat="1" applyFont="1" applyFill="1" applyBorder="1" applyAlignment="1">
      <alignment vertical="center"/>
    </xf>
    <xf numFmtId="44" fontId="53" fillId="0" borderId="1" xfId="1" applyNumberFormat="1" applyFont="1" applyFill="1" applyBorder="1" applyAlignment="1">
      <alignment vertical="center"/>
    </xf>
    <xf numFmtId="44" fontId="53" fillId="0" borderId="1" xfId="1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/>
    </xf>
    <xf numFmtId="165" fontId="42" fillId="0" borderId="1" xfId="2" applyNumberFormat="1" applyFont="1" applyFill="1" applyBorder="1" applyAlignment="1">
      <alignment horizontal="right" vertical="center"/>
    </xf>
    <xf numFmtId="0" fontId="44" fillId="0" borderId="1" xfId="0" applyFont="1" applyFill="1" applyBorder="1" applyAlignment="1">
      <alignment vertical="center"/>
    </xf>
    <xf numFmtId="43" fontId="44" fillId="0" borderId="1" xfId="2" applyNumberFormat="1" applyFont="1" applyFill="1" applyBorder="1" applyAlignment="1">
      <alignment vertical="center"/>
    </xf>
    <xf numFmtId="165" fontId="42" fillId="0" borderId="1" xfId="2" applyNumberFormat="1" applyFont="1" applyFill="1" applyBorder="1" applyAlignment="1">
      <alignment horizontal="right"/>
    </xf>
    <xf numFmtId="44" fontId="43" fillId="0" borderId="1" xfId="1" applyNumberFormat="1" applyFont="1" applyFill="1" applyBorder="1" applyAlignment="1">
      <alignment vertical="center"/>
    </xf>
    <xf numFmtId="44" fontId="43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vertical="center"/>
    </xf>
    <xf numFmtId="0" fontId="42" fillId="0" borderId="6" xfId="0" applyFont="1" applyFill="1" applyBorder="1" applyAlignment="1">
      <alignment horizontal="right"/>
    </xf>
    <xf numFmtId="3" fontId="0" fillId="0" borderId="1" xfId="0" applyNumberFormat="1" applyFont="1" applyFill="1" applyBorder="1" applyAlignment="1">
      <alignment horizontal="right" vertical="center"/>
    </xf>
    <xf numFmtId="174" fontId="1" fillId="0" borderId="1" xfId="2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center"/>
    </xf>
    <xf numFmtId="2" fontId="10" fillId="0" borderId="1" xfId="4" applyNumberFormat="1" applyFont="1" applyFill="1" applyBorder="1" applyAlignment="1">
      <alignment horizontal="center" vertical="center"/>
    </xf>
    <xf numFmtId="0" fontId="6" fillId="0" borderId="0" xfId="4" applyFont="1"/>
    <xf numFmtId="0" fontId="11" fillId="0" borderId="1" xfId="6" applyFont="1" applyBorder="1" applyAlignment="1">
      <alignment horizontal="center" vertical="center"/>
    </xf>
    <xf numFmtId="0" fontId="10" fillId="5" borderId="1" xfId="4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10" fillId="5" borderId="1" xfId="4" applyFont="1" applyFill="1" applyBorder="1" applyAlignment="1">
      <alignment horizontal="center"/>
    </xf>
    <xf numFmtId="0" fontId="6" fillId="0" borderId="5" xfId="4" applyFont="1" applyBorder="1"/>
    <xf numFmtId="0" fontId="6" fillId="0" borderId="0" xfId="4" applyFont="1" applyBorder="1"/>
    <xf numFmtId="0" fontId="6" fillId="0" borderId="6" xfId="4" applyFont="1" applyBorder="1"/>
    <xf numFmtId="0" fontId="0" fillId="3" borderId="2" xfId="0" applyFont="1" applyFill="1" applyBorder="1" applyAlignment="1">
      <alignment horizontal="left"/>
    </xf>
    <xf numFmtId="44" fontId="1" fillId="2" borderId="1" xfId="1" applyFont="1" applyFill="1" applyBorder="1" applyAlignment="1">
      <alignment horizontal="center" vertical="top" wrapText="1"/>
    </xf>
    <xf numFmtId="44" fontId="0" fillId="3" borderId="1" xfId="1" applyFont="1" applyFill="1" applyBorder="1" applyAlignment="1">
      <alignment horizontal="center"/>
    </xf>
    <xf numFmtId="44" fontId="47" fillId="0" borderId="11" xfId="1" applyFont="1" applyBorder="1" applyAlignment="1">
      <alignment horizontal="right"/>
    </xf>
    <xf numFmtId="44" fontId="50" fillId="0" borderId="1" xfId="1" applyFont="1" applyBorder="1" applyAlignment="1">
      <alignment horizontal="right" vertical="center" wrapText="1"/>
    </xf>
    <xf numFmtId="7" fontId="50" fillId="0" borderId="1" xfId="1" applyNumberFormat="1" applyFont="1" applyBorder="1" applyAlignment="1">
      <alignment horizontal="right" vertical="center" wrapText="1"/>
    </xf>
    <xf numFmtId="0" fontId="0" fillId="2" borderId="81" xfId="0" applyFont="1" applyFill="1" applyBorder="1" applyAlignment="1">
      <alignment horizontal="center"/>
    </xf>
    <xf numFmtId="0" fontId="0" fillId="2" borderId="82" xfId="0" applyFont="1" applyFill="1" applyBorder="1" applyAlignment="1">
      <alignment horizontal="left"/>
    </xf>
    <xf numFmtId="0" fontId="0" fillId="2" borderId="82" xfId="0" applyFont="1" applyFill="1" applyBorder="1"/>
    <xf numFmtId="44" fontId="1" fillId="2" borderId="82" xfId="1" applyFont="1" applyFill="1" applyBorder="1"/>
    <xf numFmtId="44" fontId="0" fillId="2" borderId="82" xfId="0" applyNumberFormat="1" applyFont="1" applyFill="1" applyBorder="1" applyAlignment="1">
      <alignment horizontal="center"/>
    </xf>
    <xf numFmtId="10" fontId="1" fillId="2" borderId="83" xfId="3" applyNumberFormat="1" applyFont="1" applyFill="1" applyBorder="1" applyAlignment="1">
      <alignment horizontal="center"/>
    </xf>
    <xf numFmtId="0" fontId="0" fillId="2" borderId="84" xfId="0" applyFont="1" applyFill="1" applyBorder="1" applyAlignment="1">
      <alignment horizontal="center"/>
    </xf>
    <xf numFmtId="0" fontId="0" fillId="2" borderId="85" xfId="0" applyFont="1" applyFill="1" applyBorder="1" applyAlignment="1">
      <alignment horizontal="left"/>
    </xf>
    <xf numFmtId="0" fontId="0" fillId="2" borderId="85" xfId="0" applyFont="1" applyFill="1" applyBorder="1"/>
    <xf numFmtId="44" fontId="1" fillId="2" borderId="85" xfId="1" applyFont="1" applyFill="1" applyBorder="1"/>
    <xf numFmtId="44" fontId="0" fillId="2" borderId="85" xfId="0" applyNumberFormat="1" applyFont="1" applyFill="1" applyBorder="1" applyAlignment="1">
      <alignment horizontal="center"/>
    </xf>
    <xf numFmtId="10" fontId="1" fillId="2" borderId="86" xfId="3" applyNumberFormat="1" applyFont="1" applyFill="1" applyBorder="1" applyAlignment="1">
      <alignment horizontal="center"/>
    </xf>
    <xf numFmtId="0" fontId="6" fillId="0" borderId="0" xfId="0" applyFont="1" applyFill="1"/>
    <xf numFmtId="0" fontId="46" fillId="0" borderId="1" xfId="0" applyFont="1" applyBorder="1" applyAlignment="1">
      <alignment horizontal="center"/>
    </xf>
    <xf numFmtId="0" fontId="6" fillId="0" borderId="0" xfId="0" applyFont="1"/>
    <xf numFmtId="0" fontId="60" fillId="0" borderId="0" xfId="0" applyFont="1"/>
    <xf numFmtId="0" fontId="47" fillId="5" borderId="1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vertical="center"/>
    </xf>
    <xf numFmtId="44" fontId="47" fillId="2" borderId="1" xfId="1" applyFont="1" applyFill="1" applyBorder="1" applyAlignment="1">
      <alignment vertical="center"/>
    </xf>
    <xf numFmtId="0" fontId="61" fillId="0" borderId="1" xfId="0" applyFont="1" applyBorder="1" applyAlignment="1">
      <alignment horizontal="left" vertical="center" wrapText="1"/>
    </xf>
    <xf numFmtId="44" fontId="62" fillId="0" borderId="1" xfId="1" applyFont="1" applyBorder="1" applyAlignment="1">
      <alignment horizontal="right" vertical="center" wrapText="1"/>
    </xf>
    <xf numFmtId="0" fontId="61" fillId="0" borderId="1" xfId="0" applyFont="1" applyBorder="1" applyAlignment="1">
      <alignment horizontal="right" vertical="center" wrapText="1"/>
    </xf>
    <xf numFmtId="0" fontId="47" fillId="0" borderId="10" xfId="0" applyFont="1" applyBorder="1"/>
    <xf numFmtId="0" fontId="47" fillId="0" borderId="11" xfId="0" applyFont="1" applyBorder="1"/>
    <xf numFmtId="44" fontId="47" fillId="0" borderId="11" xfId="1" applyFont="1" applyBorder="1"/>
    <xf numFmtId="2" fontId="61" fillId="0" borderId="1" xfId="0" applyNumberFormat="1" applyFont="1" applyBorder="1" applyAlignment="1">
      <alignment horizontal="right" vertical="center" wrapText="1"/>
    </xf>
    <xf numFmtId="44" fontId="63" fillId="0" borderId="1" xfId="1" applyFont="1" applyBorder="1" applyAlignment="1">
      <alignment horizontal="right" vertical="center" wrapText="1"/>
    </xf>
    <xf numFmtId="44" fontId="6" fillId="0" borderId="0" xfId="1" applyFont="1"/>
    <xf numFmtId="0" fontId="10" fillId="5" borderId="1" xfId="4" applyFont="1" applyFill="1" applyBorder="1" applyAlignment="1">
      <alignment horizontal="center"/>
    </xf>
    <xf numFmtId="44" fontId="27" fillId="4" borderId="1" xfId="1" applyNumberFormat="1" applyFont="1" applyFill="1" applyBorder="1" applyAlignment="1" applyProtection="1">
      <alignment vertical="center"/>
      <protection locked="0"/>
    </xf>
    <xf numFmtId="44" fontId="27" fillId="4" borderId="1" xfId="1" applyFont="1" applyFill="1" applyBorder="1" applyAlignment="1" applyProtection="1">
      <alignment vertical="center"/>
      <protection locked="0"/>
    </xf>
    <xf numFmtId="44" fontId="44" fillId="4" borderId="1" xfId="1" applyNumberFormat="1" applyFont="1" applyFill="1" applyBorder="1" applyAlignment="1" applyProtection="1">
      <alignment vertical="center"/>
      <protection locked="0"/>
    </xf>
    <xf numFmtId="0" fontId="0" fillId="0" borderId="0" xfId="0" applyFill="1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54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/>
    </xf>
    <xf numFmtId="0" fontId="49" fillId="0" borderId="1" xfId="0" applyFont="1" applyBorder="1" applyAlignment="1">
      <alignment horizontal="center"/>
    </xf>
    <xf numFmtId="17" fontId="49" fillId="0" borderId="1" xfId="0" applyNumberFormat="1" applyFont="1" applyBorder="1" applyAlignment="1">
      <alignment horizontal="center"/>
    </xf>
    <xf numFmtId="14" fontId="49" fillId="0" borderId="1" xfId="0" applyNumberFormat="1" applyFont="1" applyBorder="1" applyAlignment="1">
      <alignment horizontal="center"/>
    </xf>
    <xf numFmtId="0" fontId="0" fillId="3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1" fontId="42" fillId="0" borderId="0" xfId="0" applyNumberFormat="1" applyFont="1" applyBorder="1" applyAlignment="1">
      <alignment horizontal="left"/>
    </xf>
    <xf numFmtId="0" fontId="42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/>
    </xf>
    <xf numFmtId="0" fontId="53" fillId="3" borderId="1" xfId="0" applyFont="1" applyFill="1" applyBorder="1" applyAlignment="1">
      <alignment horizontal="center" vertical="center" wrapText="1"/>
    </xf>
    <xf numFmtId="0" fontId="59" fillId="0" borderId="8" xfId="0" applyFont="1" applyBorder="1" applyAlignment="1">
      <alignment horizontal="center"/>
    </xf>
    <xf numFmtId="0" fontId="59" fillId="0" borderId="0" xfId="0" applyFont="1" applyBorder="1" applyAlignment="1">
      <alignment horizontal="center"/>
    </xf>
    <xf numFmtId="0" fontId="0" fillId="3" borderId="10" xfId="0" applyFont="1" applyFill="1" applyBorder="1" applyAlignment="1">
      <alignment horizontal="left" vertical="center" wrapText="1"/>
    </xf>
    <xf numFmtId="0" fontId="0" fillId="3" borderId="11" xfId="0" applyFont="1" applyFill="1" applyBorder="1" applyAlignment="1">
      <alignment horizontal="left" vertical="center" wrapText="1"/>
    </xf>
    <xf numFmtId="0" fontId="0" fillId="3" borderId="12" xfId="0" applyFont="1" applyFill="1" applyBorder="1" applyAlignment="1">
      <alignment horizontal="left" vertical="center" wrapText="1"/>
    </xf>
    <xf numFmtId="0" fontId="0" fillId="3" borderId="10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42" fillId="3" borderId="1" xfId="0" applyFont="1" applyFill="1" applyBorder="1" applyAlignment="1">
      <alignment horizontal="right"/>
    </xf>
    <xf numFmtId="0" fontId="58" fillId="4" borderId="10" xfId="0" applyFont="1" applyFill="1" applyBorder="1" applyAlignment="1" applyProtection="1">
      <alignment horizontal="left" vertical="center"/>
      <protection locked="0"/>
    </xf>
    <xf numFmtId="0" fontId="58" fillId="4" borderId="11" xfId="0" applyFont="1" applyFill="1" applyBorder="1" applyAlignment="1" applyProtection="1">
      <alignment horizontal="left" vertical="center"/>
      <protection locked="0"/>
    </xf>
    <xf numFmtId="0" fontId="58" fillId="4" borderId="12" xfId="0" applyFont="1" applyFill="1" applyBorder="1" applyAlignment="1" applyProtection="1">
      <alignment horizontal="left" vertical="center"/>
      <protection locked="0"/>
    </xf>
    <xf numFmtId="0" fontId="42" fillId="3" borderId="1" xfId="0" applyFont="1" applyFill="1" applyBorder="1" applyAlignment="1">
      <alignment horizontal="left" vertical="center" wrapText="1"/>
    </xf>
    <xf numFmtId="0" fontId="42" fillId="3" borderId="10" xfId="0" applyFont="1" applyFill="1" applyBorder="1" applyAlignment="1">
      <alignment horizontal="left" vertical="center" wrapText="1"/>
    </xf>
    <xf numFmtId="0" fontId="42" fillId="3" borderId="11" xfId="0" applyFont="1" applyFill="1" applyBorder="1" applyAlignment="1">
      <alignment horizontal="left" vertical="center" wrapText="1"/>
    </xf>
    <xf numFmtId="0" fontId="42" fillId="3" borderId="12" xfId="0" applyFont="1" applyFill="1" applyBorder="1" applyAlignment="1">
      <alignment horizontal="left" vertical="center" wrapText="1"/>
    </xf>
    <xf numFmtId="0" fontId="42" fillId="3" borderId="10" xfId="0" applyFont="1" applyFill="1" applyBorder="1" applyAlignment="1">
      <alignment horizontal="center" vertical="center"/>
    </xf>
    <xf numFmtId="0" fontId="42" fillId="3" borderId="12" xfId="0" applyFont="1" applyFill="1" applyBorder="1" applyAlignment="1">
      <alignment horizontal="center" vertical="center"/>
    </xf>
    <xf numFmtId="0" fontId="42" fillId="0" borderId="10" xfId="0" applyFont="1" applyFill="1" applyBorder="1" applyAlignment="1">
      <alignment horizontal="center" vertical="center"/>
    </xf>
    <xf numFmtId="0" fontId="42" fillId="0" borderId="12" xfId="0" applyFont="1" applyFill="1" applyBorder="1" applyAlignment="1">
      <alignment horizontal="center" vertical="center"/>
    </xf>
    <xf numFmtId="0" fontId="59" fillId="0" borderId="8" xfId="0" applyFont="1" applyBorder="1" applyAlignment="1" applyProtection="1">
      <alignment horizontal="center"/>
    </xf>
    <xf numFmtId="0" fontId="59" fillId="0" borderId="0" xfId="0" applyFont="1" applyBorder="1" applyAlignment="1" applyProtection="1">
      <alignment horizontal="center"/>
    </xf>
    <xf numFmtId="0" fontId="0" fillId="3" borderId="1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30" xfId="0" applyBorder="1" applyAlignment="1">
      <alignment horizontal="center"/>
    </xf>
    <xf numFmtId="0" fontId="5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7" fontId="4" fillId="0" borderId="10" xfId="0" applyNumberFormat="1" applyFont="1" applyBorder="1" applyAlignment="1">
      <alignment horizontal="center"/>
    </xf>
    <xf numFmtId="17" fontId="4" fillId="0" borderId="11" xfId="0" applyNumberFormat="1" applyFont="1" applyBorder="1" applyAlignment="1">
      <alignment horizontal="center"/>
    </xf>
    <xf numFmtId="17" fontId="4" fillId="0" borderId="12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44" fontId="27" fillId="0" borderId="10" xfId="1" applyFont="1" applyBorder="1" applyAlignment="1">
      <alignment horizontal="center"/>
    </xf>
    <xf numFmtId="44" fontId="27" fillId="0" borderId="12" xfId="1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44" fontId="0" fillId="0" borderId="12" xfId="1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44" fontId="27" fillId="0" borderId="10" xfId="0" applyNumberFormat="1" applyFont="1" applyBorder="1" applyAlignment="1">
      <alignment horizontal="center"/>
    </xf>
    <xf numFmtId="44" fontId="0" fillId="0" borderId="10" xfId="0" applyNumberFormat="1" applyBorder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/>
    </xf>
    <xf numFmtId="0" fontId="0" fillId="2" borderId="25" xfId="0" applyFont="1" applyFill="1" applyBorder="1" applyAlignment="1">
      <alignment horizontal="center" vertical="center"/>
    </xf>
    <xf numFmtId="0" fontId="0" fillId="2" borderId="30" xfId="0" applyFont="1" applyFill="1" applyBorder="1" applyAlignment="1">
      <alignment horizontal="center" vertical="center"/>
    </xf>
    <xf numFmtId="0" fontId="52" fillId="0" borderId="10" xfId="0" applyFont="1" applyBorder="1" applyAlignment="1">
      <alignment horizontal="center" vertical="center"/>
    </xf>
    <xf numFmtId="0" fontId="52" fillId="0" borderId="11" xfId="0" applyFont="1" applyBorder="1" applyAlignment="1">
      <alignment horizontal="center" vertical="center"/>
    </xf>
    <xf numFmtId="0" fontId="52" fillId="0" borderId="12" xfId="0" applyFont="1" applyBorder="1" applyAlignment="1">
      <alignment horizontal="center" vertical="center"/>
    </xf>
    <xf numFmtId="0" fontId="7" fillId="0" borderId="28" xfId="11" applyFont="1" applyBorder="1" applyAlignment="1">
      <alignment horizontal="center" vertical="center"/>
    </xf>
    <xf numFmtId="0" fontId="7" fillId="0" borderId="29" xfId="11" applyFont="1" applyBorder="1" applyAlignment="1">
      <alignment horizontal="center" vertical="center"/>
    </xf>
    <xf numFmtId="0" fontId="35" fillId="0" borderId="51" xfId="11" applyFont="1" applyBorder="1" applyAlignment="1">
      <alignment horizontal="center" vertical="center"/>
    </xf>
    <xf numFmtId="0" fontId="35" fillId="0" borderId="48" xfId="11" applyFont="1" applyBorder="1" applyAlignment="1">
      <alignment horizontal="center" vertical="center"/>
    </xf>
    <xf numFmtId="0" fontId="35" fillId="0" borderId="49" xfId="11" applyFont="1" applyBorder="1" applyAlignment="1">
      <alignment horizontal="center" vertical="center"/>
    </xf>
    <xf numFmtId="0" fontId="35" fillId="0" borderId="29" xfId="11" applyFont="1" applyBorder="1" applyAlignment="1">
      <alignment horizontal="center" vertical="center"/>
    </xf>
    <xf numFmtId="0" fontId="7" fillId="3" borderId="14" xfId="11" applyFont="1" applyFill="1" applyBorder="1" applyAlignment="1">
      <alignment horizontal="center" vertical="center"/>
    </xf>
    <xf numFmtId="0" fontId="7" fillId="3" borderId="15" xfId="11" applyFont="1" applyFill="1" applyBorder="1" applyAlignment="1">
      <alignment horizontal="center" vertical="center"/>
    </xf>
    <xf numFmtId="0" fontId="7" fillId="3" borderId="16" xfId="11" applyFont="1" applyFill="1" applyBorder="1" applyAlignment="1">
      <alignment horizontal="center" vertical="center"/>
    </xf>
    <xf numFmtId="0" fontId="7" fillId="3" borderId="52" xfId="11" applyFont="1" applyFill="1" applyBorder="1" applyAlignment="1">
      <alignment horizontal="center"/>
    </xf>
    <xf numFmtId="0" fontId="7" fillId="3" borderId="34" xfId="11" applyFont="1" applyFill="1" applyBorder="1" applyAlignment="1">
      <alignment horizontal="center"/>
    </xf>
    <xf numFmtId="0" fontId="7" fillId="3" borderId="53" xfId="11" applyFont="1" applyFill="1" applyBorder="1" applyAlignment="1">
      <alignment horizontal="center"/>
    </xf>
    <xf numFmtId="0" fontId="8" fillId="0" borderId="33" xfId="11" applyFont="1" applyFill="1" applyBorder="1" applyAlignment="1">
      <alignment horizontal="center" vertical="center"/>
    </xf>
    <xf numFmtId="0" fontId="8" fillId="0" borderId="24" xfId="11" applyFont="1" applyFill="1" applyBorder="1" applyAlignment="1">
      <alignment horizontal="center" vertical="center"/>
    </xf>
    <xf numFmtId="0" fontId="8" fillId="0" borderId="22" xfId="11" applyFont="1" applyFill="1" applyBorder="1" applyAlignment="1">
      <alignment horizontal="center" vertical="center"/>
    </xf>
    <xf numFmtId="0" fontId="8" fillId="0" borderId="23" xfId="11" applyFont="1" applyFill="1" applyBorder="1" applyAlignment="1">
      <alignment horizontal="center" vertical="center"/>
    </xf>
    <xf numFmtId="0" fontId="7" fillId="0" borderId="26" xfId="11" applyFont="1" applyFill="1" applyBorder="1" applyAlignment="1">
      <alignment horizontal="center" vertical="center"/>
    </xf>
    <xf numFmtId="0" fontId="7" fillId="0" borderId="27" xfId="11" applyFont="1" applyFill="1" applyBorder="1" applyAlignment="1">
      <alignment horizontal="center" vertical="center"/>
    </xf>
    <xf numFmtId="0" fontId="35" fillId="0" borderId="36" xfId="11" applyFont="1" applyBorder="1" applyAlignment="1">
      <alignment horizontal="center" vertical="center"/>
    </xf>
    <xf numFmtId="0" fontId="35" fillId="0" borderId="15" xfId="11" applyFont="1" applyBorder="1" applyAlignment="1">
      <alignment horizontal="center" vertical="center"/>
    </xf>
    <xf numFmtId="0" fontId="35" fillId="0" borderId="50" xfId="11" applyFont="1" applyBorder="1" applyAlignment="1">
      <alignment horizontal="center" vertical="center"/>
    </xf>
    <xf numFmtId="0" fontId="35" fillId="0" borderId="16" xfId="11" applyFont="1" applyBorder="1" applyAlignment="1">
      <alignment horizontal="center" vertical="center"/>
    </xf>
    <xf numFmtId="166" fontId="6" fillId="0" borderId="29" xfId="11" applyNumberFormat="1" applyFont="1" applyFill="1" applyBorder="1" applyAlignment="1">
      <alignment horizontal="center" vertical="center"/>
    </xf>
    <xf numFmtId="168" fontId="6" fillId="0" borderId="29" xfId="11" applyNumberFormat="1" applyFont="1" applyFill="1" applyBorder="1" applyAlignment="1">
      <alignment horizontal="center" vertical="center"/>
    </xf>
    <xf numFmtId="0" fontId="7" fillId="3" borderId="27" xfId="11" applyFont="1" applyFill="1" applyBorder="1" applyAlignment="1">
      <alignment horizontal="center" vertical="center" wrapText="1"/>
    </xf>
    <xf numFmtId="0" fontId="7" fillId="3" borderId="26" xfId="11" applyFont="1" applyFill="1" applyBorder="1" applyAlignment="1">
      <alignment horizontal="center" vertical="center" wrapText="1"/>
    </xf>
    <xf numFmtId="1" fontId="10" fillId="0" borderId="1" xfId="4" applyNumberFormat="1" applyFont="1" applyFill="1" applyBorder="1" applyAlignment="1">
      <alignment horizontal="right" vertical="center"/>
    </xf>
    <xf numFmtId="0" fontId="10" fillId="5" borderId="1" xfId="4" applyFont="1" applyFill="1" applyBorder="1" applyAlignment="1">
      <alignment horizontal="center"/>
    </xf>
    <xf numFmtId="0" fontId="11" fillId="0" borderId="1" xfId="6" applyFont="1" applyBorder="1" applyAlignment="1">
      <alignment horizontal="center" vertical="center"/>
    </xf>
    <xf numFmtId="17" fontId="11" fillId="0" borderId="1" xfId="6" applyNumberFormat="1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1" fontId="10" fillId="0" borderId="1" xfId="6" applyNumberFormat="1" applyFont="1" applyFill="1" applyBorder="1" applyAlignment="1">
      <alignment horizontal="right" vertical="center"/>
    </xf>
    <xf numFmtId="0" fontId="11" fillId="5" borderId="10" xfId="17" applyFont="1" applyFill="1" applyBorder="1" applyAlignment="1">
      <alignment horizontal="center" vertical="center" wrapText="1"/>
    </xf>
    <xf numFmtId="0" fontId="11" fillId="5" borderId="11" xfId="17" applyFont="1" applyFill="1" applyBorder="1" applyAlignment="1">
      <alignment horizontal="center" vertical="center" wrapText="1"/>
    </xf>
    <xf numFmtId="0" fontId="11" fillId="5" borderId="12" xfId="17" applyFont="1" applyFill="1" applyBorder="1" applyAlignment="1">
      <alignment horizontal="center" vertical="center" wrapText="1"/>
    </xf>
    <xf numFmtId="0" fontId="10" fillId="5" borderId="1" xfId="17" applyFont="1" applyFill="1" applyBorder="1" applyAlignment="1">
      <alignment horizontal="center"/>
    </xf>
    <xf numFmtId="1" fontId="11" fillId="0" borderId="10" xfId="4" applyNumberFormat="1" applyFont="1" applyFill="1" applyBorder="1" applyAlignment="1">
      <alignment horizontal="right" vertical="center"/>
    </xf>
    <xf numFmtId="1" fontId="11" fillId="0" borderId="11" xfId="4" applyNumberFormat="1" applyFont="1" applyFill="1" applyBorder="1" applyAlignment="1">
      <alignment horizontal="right" vertical="center"/>
    </xf>
    <xf numFmtId="1" fontId="11" fillId="0" borderId="12" xfId="4" applyNumberFormat="1" applyFont="1" applyFill="1" applyBorder="1" applyAlignment="1">
      <alignment horizontal="right" vertical="center"/>
    </xf>
    <xf numFmtId="0" fontId="11" fillId="5" borderId="7" xfId="17" applyFont="1" applyFill="1" applyBorder="1" applyAlignment="1">
      <alignment horizontal="center" wrapText="1"/>
    </xf>
    <xf numFmtId="0" fontId="11" fillId="5" borderId="8" xfId="17" applyFont="1" applyFill="1" applyBorder="1" applyAlignment="1">
      <alignment horizontal="center" wrapText="1"/>
    </xf>
    <xf numFmtId="0" fontId="11" fillId="5" borderId="9" xfId="17" applyFont="1" applyFill="1" applyBorder="1" applyAlignment="1">
      <alignment horizontal="center" wrapText="1"/>
    </xf>
    <xf numFmtId="0" fontId="8" fillId="0" borderId="11" xfId="17" applyFont="1" applyFill="1" applyBorder="1" applyAlignment="1">
      <alignment horizontal="center" vertical="center" wrapText="1"/>
    </xf>
    <xf numFmtId="0" fontId="8" fillId="0" borderId="12" xfId="17" applyFont="1" applyFill="1" applyBorder="1" applyAlignment="1">
      <alignment horizontal="center" vertical="center" wrapText="1"/>
    </xf>
    <xf numFmtId="0" fontId="11" fillId="0" borderId="11" xfId="17" applyFont="1" applyBorder="1" applyAlignment="1">
      <alignment horizontal="center" vertical="center"/>
    </xf>
    <xf numFmtId="0" fontId="11" fillId="0" borderId="12" xfId="17" applyFont="1" applyBorder="1" applyAlignment="1">
      <alignment horizontal="center" vertical="center"/>
    </xf>
    <xf numFmtId="0" fontId="11" fillId="0" borderId="11" xfId="18" applyFont="1" applyBorder="1" applyAlignment="1">
      <alignment horizontal="center" vertical="center"/>
    </xf>
    <xf numFmtId="0" fontId="11" fillId="0" borderId="12" xfId="18" applyFont="1" applyBorder="1" applyAlignment="1">
      <alignment horizontal="center" vertical="center"/>
    </xf>
    <xf numFmtId="0" fontId="6" fillId="0" borderId="2" xfId="17" applyFont="1" applyFill="1" applyBorder="1" applyAlignment="1">
      <alignment horizontal="center"/>
    </xf>
    <xf numFmtId="0" fontId="6" fillId="0" borderId="3" xfId="17" applyFont="1" applyFill="1" applyBorder="1" applyAlignment="1">
      <alignment horizontal="center"/>
    </xf>
    <xf numFmtId="0" fontId="6" fillId="0" borderId="4" xfId="17" applyFont="1" applyFill="1" applyBorder="1" applyAlignment="1">
      <alignment horizontal="center"/>
    </xf>
    <xf numFmtId="0" fontId="6" fillId="0" borderId="5" xfId="17" applyFont="1" applyFill="1" applyBorder="1" applyAlignment="1">
      <alignment horizontal="center"/>
    </xf>
    <xf numFmtId="0" fontId="6" fillId="0" borderId="0" xfId="17" applyFont="1" applyFill="1" applyBorder="1" applyAlignment="1">
      <alignment horizontal="center"/>
    </xf>
    <xf numFmtId="0" fontId="6" fillId="0" borderId="6" xfId="17" applyFont="1" applyFill="1" applyBorder="1" applyAlignment="1">
      <alignment horizontal="center"/>
    </xf>
    <xf numFmtId="0" fontId="6" fillId="0" borderId="7" xfId="17" applyFont="1" applyFill="1" applyBorder="1" applyAlignment="1">
      <alignment horizontal="center"/>
    </xf>
    <xf numFmtId="0" fontId="6" fillId="0" borderId="8" xfId="17" applyFont="1" applyFill="1" applyBorder="1" applyAlignment="1">
      <alignment horizontal="center"/>
    </xf>
    <xf numFmtId="0" fontId="6" fillId="0" borderId="9" xfId="17" applyFont="1" applyFill="1" applyBorder="1" applyAlignment="1">
      <alignment horizontal="center"/>
    </xf>
    <xf numFmtId="1" fontId="11" fillId="0" borderId="1" xfId="4" applyNumberFormat="1" applyFont="1" applyFill="1" applyBorder="1" applyAlignment="1">
      <alignment horizontal="right" vertical="center"/>
    </xf>
    <xf numFmtId="2" fontId="11" fillId="0" borderId="10" xfId="4" applyNumberFormat="1" applyFont="1" applyFill="1" applyBorder="1" applyAlignment="1">
      <alignment horizontal="right"/>
    </xf>
    <xf numFmtId="2" fontId="11" fillId="0" borderId="11" xfId="4" applyNumberFormat="1" applyFont="1" applyFill="1" applyBorder="1" applyAlignment="1">
      <alignment horizontal="right"/>
    </xf>
    <xf numFmtId="2" fontId="11" fillId="0" borderId="12" xfId="4" applyNumberFormat="1" applyFont="1" applyFill="1" applyBorder="1" applyAlignment="1">
      <alignment horizontal="right"/>
    </xf>
    <xf numFmtId="0" fontId="11" fillId="5" borderId="10" xfId="17" applyFont="1" applyFill="1" applyBorder="1" applyAlignment="1">
      <alignment horizontal="center"/>
    </xf>
    <xf numFmtId="0" fontId="11" fillId="5" borderId="11" xfId="17" applyFont="1" applyFill="1" applyBorder="1" applyAlignment="1">
      <alignment horizontal="center"/>
    </xf>
    <xf numFmtId="0" fontId="11" fillId="5" borderId="12" xfId="17" applyFont="1" applyFill="1" applyBorder="1" applyAlignment="1">
      <alignment horizontal="center"/>
    </xf>
    <xf numFmtId="2" fontId="11" fillId="0" borderId="1" xfId="4" applyNumberFormat="1" applyFont="1" applyFill="1" applyBorder="1" applyAlignment="1">
      <alignment horizontal="right"/>
    </xf>
    <xf numFmtId="0" fontId="11" fillId="5" borderId="1" xfId="17" applyFont="1" applyFill="1" applyBorder="1" applyAlignment="1">
      <alignment horizontal="center" wrapText="1"/>
    </xf>
    <xf numFmtId="1" fontId="11" fillId="0" borderId="1" xfId="17" applyNumberFormat="1" applyFont="1" applyFill="1" applyBorder="1" applyAlignment="1">
      <alignment horizontal="right" vertical="center"/>
    </xf>
    <xf numFmtId="2" fontId="11" fillId="0" borderId="1" xfId="18" applyNumberFormat="1" applyFont="1" applyBorder="1" applyAlignment="1">
      <alignment horizontal="center" vertical="center"/>
    </xf>
    <xf numFmtId="17" fontId="11" fillId="0" borderId="1" xfId="18" applyNumberFormat="1" applyFont="1" applyBorder="1" applyAlignment="1">
      <alignment horizontal="center"/>
    </xf>
    <xf numFmtId="0" fontId="11" fillId="5" borderId="1" xfId="17" applyFont="1" applyFill="1" applyBorder="1" applyAlignment="1">
      <alignment horizontal="center"/>
    </xf>
    <xf numFmtId="0" fontId="56" fillId="3" borderId="2" xfId="0" applyFont="1" applyFill="1" applyBorder="1" applyAlignment="1">
      <alignment horizontal="left" vertical="top" wrapText="1"/>
    </xf>
    <xf numFmtId="0" fontId="56" fillId="3" borderId="3" xfId="0" applyFont="1" applyFill="1" applyBorder="1" applyAlignment="1">
      <alignment horizontal="left" vertical="top" wrapText="1"/>
    </xf>
    <xf numFmtId="0" fontId="56" fillId="3" borderId="4" xfId="0" applyFont="1" applyFill="1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top"/>
    </xf>
    <xf numFmtId="0" fontId="17" fillId="0" borderId="3" xfId="0" applyFont="1" applyBorder="1" applyAlignment="1">
      <alignment horizontal="center" vertical="top"/>
    </xf>
    <xf numFmtId="0" fontId="17" fillId="0" borderId="4" xfId="0" applyFont="1" applyBorder="1" applyAlignment="1">
      <alignment horizontal="center" vertical="top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3" fillId="8" borderId="2" xfId="0" applyFont="1" applyFill="1" applyBorder="1" applyAlignment="1">
      <alignment horizontal="center"/>
    </xf>
    <xf numFmtId="0" fontId="13" fillId="8" borderId="3" xfId="0" applyFont="1" applyFill="1" applyBorder="1" applyAlignment="1">
      <alignment horizontal="center"/>
    </xf>
    <xf numFmtId="0" fontId="13" fillId="8" borderId="4" xfId="0" applyFont="1" applyFill="1" applyBorder="1" applyAlignment="1">
      <alignment horizontal="center"/>
    </xf>
    <xf numFmtId="14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0" fontId="13" fillId="0" borderId="5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7" fillId="0" borderId="0" xfId="0" applyFont="1" applyAlignment="1">
      <alignment horizontal="center" vertical="top"/>
    </xf>
    <xf numFmtId="0" fontId="13" fillId="0" borderId="30" xfId="0" applyFont="1" applyBorder="1" applyAlignment="1">
      <alignment horizontal="center"/>
    </xf>
    <xf numFmtId="0" fontId="13" fillId="7" borderId="7" xfId="0" applyFont="1" applyFill="1" applyBorder="1" applyAlignment="1">
      <alignment horizontal="center"/>
    </xf>
    <xf numFmtId="0" fontId="13" fillId="7" borderId="12" xfId="0" applyFont="1" applyFill="1" applyBorder="1" applyAlignment="1">
      <alignment horizontal="center"/>
    </xf>
    <xf numFmtId="0" fontId="13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0" fontId="17" fillId="0" borderId="1" xfId="3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6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1" fontId="4" fillId="0" borderId="7" xfId="0" applyNumberFormat="1" applyFont="1" applyFill="1" applyBorder="1" applyAlignment="1">
      <alignment horizontal="center"/>
    </xf>
    <xf numFmtId="1" fontId="4" fillId="0" borderId="8" xfId="0" applyNumberFormat="1" applyFont="1" applyFill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0" fontId="15" fillId="7" borderId="1" xfId="0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" fontId="4" fillId="0" borderId="7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1" fillId="0" borderId="1" xfId="0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center"/>
    </xf>
    <xf numFmtId="0" fontId="47" fillId="5" borderId="10" xfId="0" applyFont="1" applyFill="1" applyBorder="1" applyAlignment="1">
      <alignment horizontal="center" vertical="center" wrapText="1"/>
    </xf>
    <xf numFmtId="0" fontId="47" fillId="5" borderId="11" xfId="0" applyFont="1" applyFill="1" applyBorder="1" applyAlignment="1">
      <alignment horizontal="center" vertical="center" wrapText="1"/>
    </xf>
    <xf numFmtId="0" fontId="47" fillId="5" borderId="12" xfId="0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/>
    </xf>
    <xf numFmtId="17" fontId="46" fillId="0" borderId="1" xfId="0" applyNumberFormat="1" applyFont="1" applyBorder="1" applyAlignment="1">
      <alignment horizontal="center" vertical="center" wrapText="1"/>
    </xf>
    <xf numFmtId="17" fontId="46" fillId="0" borderId="1" xfId="0" applyNumberFormat="1" applyFont="1" applyBorder="1" applyAlignment="1">
      <alignment horizontal="center" vertical="center"/>
    </xf>
    <xf numFmtId="14" fontId="46" fillId="0" borderId="1" xfId="0" applyNumberFormat="1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8" fontId="41" fillId="0" borderId="0" xfId="0" applyNumberFormat="1" applyFont="1" applyAlignment="1">
      <alignment horizontal="center"/>
    </xf>
    <xf numFmtId="168" fontId="41" fillId="0" borderId="0" xfId="0" applyNumberFormat="1" applyFont="1" applyAlignment="1">
      <alignment horizontal="right"/>
    </xf>
    <xf numFmtId="168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right"/>
    </xf>
    <xf numFmtId="168" fontId="0" fillId="0" borderId="8" xfId="0" applyNumberFormat="1" applyBorder="1" applyAlignment="1">
      <alignment horizontal="right"/>
    </xf>
    <xf numFmtId="170" fontId="0" fillId="0" borderId="8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168" fontId="0" fillId="0" borderId="0" xfId="0" applyNumberFormat="1" applyAlignment="1">
      <alignment horizontal="center"/>
    </xf>
    <xf numFmtId="168" fontId="0" fillId="0" borderId="0" xfId="0" applyNumberFormat="1" applyAlignment="1">
      <alignment horizontal="right"/>
    </xf>
    <xf numFmtId="170" fontId="41" fillId="0" borderId="0" xfId="0" applyNumberFormat="1" applyFont="1" applyAlignment="1">
      <alignment horizontal="right"/>
    </xf>
    <xf numFmtId="0" fontId="41" fillId="0" borderId="0" xfId="0" applyFont="1" applyAlignment="1">
      <alignment horizontal="right"/>
    </xf>
    <xf numFmtId="170" fontId="41" fillId="6" borderId="0" xfId="0" applyNumberFormat="1" applyFont="1" applyFill="1" applyAlignment="1">
      <alignment horizontal="right"/>
    </xf>
    <xf numFmtId="0" fontId="41" fillId="6" borderId="0" xfId="0" applyFont="1" applyFill="1" applyAlignment="1">
      <alignment horizontal="right"/>
    </xf>
    <xf numFmtId="168" fontId="41" fillId="0" borderId="3" xfId="0" applyNumberFormat="1" applyFont="1" applyBorder="1" applyAlignment="1">
      <alignment horizontal="center"/>
    </xf>
    <xf numFmtId="168" fontId="41" fillId="0" borderId="0" xfId="0" applyNumberFormat="1" applyFont="1" applyBorder="1" applyAlignment="1">
      <alignment horizontal="center"/>
    </xf>
    <xf numFmtId="168" fontId="41" fillId="6" borderId="0" xfId="0" applyNumberFormat="1" applyFont="1" applyFill="1" applyAlignment="1">
      <alignment horizontal="center"/>
    </xf>
    <xf numFmtId="170" fontId="41" fillId="0" borderId="0" xfId="0" applyNumberFormat="1" applyFon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70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0" fontId="0" fillId="3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17" fontId="28" fillId="2" borderId="25" xfId="0" applyNumberFormat="1" applyFont="1" applyFill="1" applyBorder="1" applyAlignment="1">
      <alignment horizontal="center"/>
    </xf>
    <xf numFmtId="17" fontId="28" fillId="2" borderId="59" xfId="0" applyNumberFormat="1" applyFont="1" applyFill="1" applyBorder="1" applyAlignment="1">
      <alignment horizontal="center"/>
    </xf>
    <xf numFmtId="17" fontId="28" fillId="2" borderId="30" xfId="0" applyNumberFormat="1" applyFont="1" applyFill="1" applyBorder="1" applyAlignment="1">
      <alignment horizontal="center"/>
    </xf>
    <xf numFmtId="17" fontId="57" fillId="2" borderId="10" xfId="0" applyNumberFormat="1" applyFont="1" applyFill="1" applyBorder="1" applyAlignment="1">
      <alignment horizontal="left" vertical="center"/>
    </xf>
    <xf numFmtId="17" fontId="57" fillId="2" borderId="11" xfId="0" applyNumberFormat="1" applyFont="1" applyFill="1" applyBorder="1" applyAlignment="1">
      <alignment horizontal="left" vertical="center"/>
    </xf>
    <xf numFmtId="17" fontId="57" fillId="2" borderId="12" xfId="0" applyNumberFormat="1" applyFont="1" applyFill="1" applyBorder="1" applyAlignment="1">
      <alignment horizontal="left" vertical="center"/>
    </xf>
    <xf numFmtId="0" fontId="57" fillId="0" borderId="10" xfId="8" applyFont="1" applyBorder="1" applyAlignment="1">
      <alignment horizontal="left"/>
    </xf>
    <xf numFmtId="0" fontId="57" fillId="0" borderId="11" xfId="8" applyFont="1" applyBorder="1" applyAlignment="1">
      <alignment horizontal="left"/>
    </xf>
    <xf numFmtId="0" fontId="57" fillId="0" borderId="12" xfId="8" applyFont="1" applyBorder="1" applyAlignment="1">
      <alignment horizontal="left"/>
    </xf>
    <xf numFmtId="49" fontId="33" fillId="5" borderId="67" xfId="4" applyNumberFormat="1" applyFont="1" applyFill="1" applyBorder="1" applyAlignment="1">
      <alignment horizontal="center" vertical="center"/>
    </xf>
    <xf numFmtId="49" fontId="33" fillId="5" borderId="68" xfId="4" applyNumberFormat="1" applyFont="1" applyFill="1" applyBorder="1" applyAlignment="1">
      <alignment horizontal="center" vertical="center"/>
    </xf>
    <xf numFmtId="0" fontId="0" fillId="2" borderId="69" xfId="0" applyFont="1" applyFill="1" applyBorder="1" applyAlignment="1">
      <alignment horizontal="center" vertical="center"/>
    </xf>
    <xf numFmtId="0" fontId="0" fillId="2" borderId="64" xfId="0" applyFont="1" applyFill="1" applyBorder="1" applyAlignment="1">
      <alignment horizontal="center" vertical="center"/>
    </xf>
    <xf numFmtId="0" fontId="0" fillId="2" borderId="70" xfId="0" applyFont="1" applyFill="1" applyBorder="1" applyAlignment="1">
      <alignment horizontal="center" vertical="center"/>
    </xf>
    <xf numFmtId="0" fontId="0" fillId="2" borderId="65" xfId="0" applyFont="1" applyFill="1" applyBorder="1" applyAlignment="1">
      <alignment horizontal="center" vertical="center"/>
    </xf>
    <xf numFmtId="0" fontId="0" fillId="2" borderId="71" xfId="0" applyFont="1" applyFill="1" applyBorder="1" applyAlignment="1">
      <alignment horizontal="center" vertical="center"/>
    </xf>
    <xf numFmtId="0" fontId="0" fillId="2" borderId="66" xfId="0" applyFont="1" applyFill="1" applyBorder="1" applyAlignment="1">
      <alignment horizontal="center" vertical="center"/>
    </xf>
    <xf numFmtId="0" fontId="29" fillId="2" borderId="10" xfId="0" applyFont="1" applyFill="1" applyBorder="1" applyAlignment="1">
      <alignment horizontal="center" vertical="center" wrapText="1"/>
    </xf>
    <xf numFmtId="0" fontId="29" fillId="2" borderId="11" xfId="0" applyFont="1" applyFill="1" applyBorder="1" applyAlignment="1">
      <alignment horizontal="center" vertical="center" wrapText="1"/>
    </xf>
    <xf numFmtId="0" fontId="29" fillId="2" borderId="12" xfId="0" applyFont="1" applyFill="1" applyBorder="1" applyAlignment="1">
      <alignment horizontal="center" vertical="center" wrapText="1"/>
    </xf>
  </cellXfs>
  <cellStyles count="25">
    <cellStyle name="Hiperlink" xfId="24" builtinId="8"/>
    <cellStyle name="Hiperlink 2" xfId="8"/>
    <cellStyle name="Moeda" xfId="1" builtinId="4"/>
    <cellStyle name="Moeda 2" xfId="14"/>
    <cellStyle name="Moeda 3" xfId="15"/>
    <cellStyle name="Moeda 4" xfId="22"/>
    <cellStyle name="Normal" xfId="0" builtinId="0"/>
    <cellStyle name="Normal 2" xfId="4"/>
    <cellStyle name="Normal 3" xfId="6"/>
    <cellStyle name="Normal 3 2" xfId="7"/>
    <cellStyle name="Normal 3 2 2" xfId="18"/>
    <cellStyle name="Normal 3 3" xfId="10"/>
    <cellStyle name="Normal 4" xfId="11"/>
    <cellStyle name="Normal 4 2" xfId="17"/>
    <cellStyle name="Normal 5" xfId="19"/>
    <cellStyle name="Porcentagem" xfId="3" builtinId="5"/>
    <cellStyle name="Porcentagem 2" xfId="13"/>
    <cellStyle name="Porcentagem 3" xfId="21"/>
    <cellStyle name="Separador de milhares 2" xfId="5"/>
    <cellStyle name="Vírgula" xfId="2" builtinId="3"/>
    <cellStyle name="Vírgula 2" xfId="12"/>
    <cellStyle name="Vírgula 3" xfId="16"/>
    <cellStyle name="Vírgula 3 2" xfId="9"/>
    <cellStyle name="Vírgula 4" xfId="20"/>
    <cellStyle name="Vírgula 5" xfId="23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wmf"/><Relationship Id="rId1" Type="http://schemas.openxmlformats.org/officeDocument/2006/relationships/image" Target="../media/image2.wmf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wmf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wmf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40821</xdr:colOff>
      <xdr:row>1</xdr:row>
      <xdr:rowOff>40821</xdr:rowOff>
    </xdr:from>
    <xdr:to>
      <xdr:col>0</xdr:col>
      <xdr:colOff>979138</xdr:colOff>
      <xdr:row>3</xdr:row>
      <xdr:rowOff>194902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21" y="40821"/>
          <a:ext cx="938317" cy="8589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0</xdr:col>
      <xdr:colOff>999392</xdr:colOff>
      <xdr:row>2</xdr:row>
      <xdr:rowOff>159301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38100"/>
          <a:ext cx="827942" cy="7593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66676</xdr:colOff>
      <xdr:row>0</xdr:row>
      <xdr:rowOff>142875</xdr:rowOff>
    </xdr:from>
    <xdr:to>
      <xdr:col>4</xdr:col>
      <xdr:colOff>1609725</xdr:colOff>
      <xdr:row>2</xdr:row>
      <xdr:rowOff>91151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1201" y="142875"/>
          <a:ext cx="1543049" cy="776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38099</xdr:colOff>
      <xdr:row>0</xdr:row>
      <xdr:rowOff>47624</xdr:rowOff>
    </xdr:from>
    <xdr:to>
      <xdr:col>0</xdr:col>
      <xdr:colOff>1049308</xdr:colOff>
      <xdr:row>2</xdr:row>
      <xdr:rowOff>142874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99" y="47624"/>
          <a:ext cx="1011209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40821</xdr:colOff>
      <xdr:row>1</xdr:row>
      <xdr:rowOff>40821</xdr:rowOff>
    </xdr:from>
    <xdr:to>
      <xdr:col>0</xdr:col>
      <xdr:colOff>979138</xdr:colOff>
      <xdr:row>3</xdr:row>
      <xdr:rowOff>194901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21" y="40821"/>
          <a:ext cx="938317" cy="8616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28575</xdr:rowOff>
    </xdr:from>
    <xdr:to>
      <xdr:col>0</xdr:col>
      <xdr:colOff>953364</xdr:colOff>
      <xdr:row>2</xdr:row>
      <xdr:rowOff>171450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8575"/>
          <a:ext cx="934314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22412</xdr:colOff>
      <xdr:row>0</xdr:row>
      <xdr:rowOff>28575</xdr:rowOff>
    </xdr:from>
    <xdr:to>
      <xdr:col>0</xdr:col>
      <xdr:colOff>960729</xdr:colOff>
      <xdr:row>2</xdr:row>
      <xdr:rowOff>171450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" y="28575"/>
          <a:ext cx="938317" cy="860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42</xdr:row>
      <xdr:rowOff>19050</xdr:rowOff>
    </xdr:to>
    <xdr:pic>
      <xdr:nvPicPr>
        <xdr:cNvPr id="2" name="Picture 4" descr="epa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96025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38</xdr:row>
      <xdr:rowOff>66675</xdr:rowOff>
    </xdr:from>
    <xdr:to>
      <xdr:col>0</xdr:col>
      <xdr:colOff>0</xdr:colOff>
      <xdr:row>42</xdr:row>
      <xdr:rowOff>95250</xdr:rowOff>
    </xdr:to>
    <xdr:pic>
      <xdr:nvPicPr>
        <xdr:cNvPr id="3" name="Picture 5" descr="epa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91250"/>
          <a:ext cx="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1</xdr:row>
      <xdr:rowOff>28575</xdr:rowOff>
    </xdr:from>
    <xdr:to>
      <xdr:col>1</xdr:col>
      <xdr:colOff>342900</xdr:colOff>
      <xdr:row>2</xdr:row>
      <xdr:rowOff>304800</xdr:rowOff>
    </xdr:to>
    <xdr:pic>
      <xdr:nvPicPr>
        <xdr:cNvPr id="4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66675"/>
          <a:ext cx="7143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428625</xdr:colOff>
      <xdr:row>14</xdr:row>
      <xdr:rowOff>28723</xdr:rowOff>
    </xdr:from>
    <xdr:to>
      <xdr:col>10</xdr:col>
      <xdr:colOff>304800</xdr:colOff>
      <xdr:row>36</xdr:row>
      <xdr:rowOff>142874</xdr:rowOff>
    </xdr:to>
    <xdr:pic>
      <xdr:nvPicPr>
        <xdr:cNvPr id="9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2248048"/>
          <a:ext cx="4829175" cy="3676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19049</xdr:colOff>
      <xdr:row>44</xdr:row>
      <xdr:rowOff>46228</xdr:rowOff>
    </xdr:from>
    <xdr:to>
      <xdr:col>10</xdr:col>
      <xdr:colOff>285750</xdr:colOff>
      <xdr:row>66</xdr:row>
      <xdr:rowOff>133349</xdr:rowOff>
    </xdr:to>
    <xdr:pic>
      <xdr:nvPicPr>
        <xdr:cNvPr id="10" name="Imagem 9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299" y="7094728"/>
          <a:ext cx="4781551" cy="3649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0</xdr:rowOff>
    </xdr:from>
    <xdr:to>
      <xdr:col>0</xdr:col>
      <xdr:colOff>0</xdr:colOff>
      <xdr:row>49</xdr:row>
      <xdr:rowOff>0</xdr:rowOff>
    </xdr:to>
    <xdr:pic>
      <xdr:nvPicPr>
        <xdr:cNvPr id="2" name="Picture 4" descr="epa4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229850"/>
          <a:ext cx="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0</xdr:colOff>
      <xdr:row>49</xdr:row>
      <xdr:rowOff>0</xdr:rowOff>
    </xdr:to>
    <xdr:pic>
      <xdr:nvPicPr>
        <xdr:cNvPr id="3" name="Picture 5" descr="epa3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10134600"/>
          <a:ext cx="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146540</xdr:colOff>
      <xdr:row>0</xdr:row>
      <xdr:rowOff>21981</xdr:rowOff>
    </xdr:from>
    <xdr:to>
      <xdr:col>5</xdr:col>
      <xdr:colOff>112938</xdr:colOff>
      <xdr:row>2</xdr:row>
      <xdr:rowOff>148343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40" y="21981"/>
          <a:ext cx="827942" cy="756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117</xdr:row>
      <xdr:rowOff>0</xdr:rowOff>
    </xdr:from>
    <xdr:to>
      <xdr:col>0</xdr:col>
      <xdr:colOff>0</xdr:colOff>
      <xdr:row>117</xdr:row>
      <xdr:rowOff>0</xdr:rowOff>
    </xdr:to>
    <xdr:pic>
      <xdr:nvPicPr>
        <xdr:cNvPr id="2" name="Picture 4" descr="epa4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345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0</xdr:colOff>
      <xdr:row>117</xdr:row>
      <xdr:rowOff>0</xdr:rowOff>
    </xdr:to>
    <xdr:pic>
      <xdr:nvPicPr>
        <xdr:cNvPr id="3" name="Picture 5" descr="epa3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345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256442</xdr:colOff>
      <xdr:row>2</xdr:row>
      <xdr:rowOff>126362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27942" cy="756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28576</xdr:rowOff>
    </xdr:from>
    <xdr:to>
      <xdr:col>0</xdr:col>
      <xdr:colOff>916112</xdr:colOff>
      <xdr:row>2</xdr:row>
      <xdr:rowOff>122465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8576"/>
          <a:ext cx="792287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28576</xdr:rowOff>
    </xdr:from>
    <xdr:to>
      <xdr:col>0</xdr:col>
      <xdr:colOff>916112</xdr:colOff>
      <xdr:row>2</xdr:row>
      <xdr:rowOff>122465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8576"/>
          <a:ext cx="792287" cy="7225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504825</xdr:colOff>
      <xdr:row>0</xdr:row>
      <xdr:rowOff>66675</xdr:rowOff>
    </xdr:from>
    <xdr:to>
      <xdr:col>0</xdr:col>
      <xdr:colOff>1332767</xdr:colOff>
      <xdr:row>2</xdr:row>
      <xdr:rowOff>146877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6675"/>
          <a:ext cx="827942" cy="756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99\e\Users\usuario\Desktop\02%20-%20ALTERA&#199;&#213;ES%20CAIXA_180219\PROJETO%20II%20-%20VILA%20CONCEI&#199;&#195;O\PLANILHA%20PROJETO%20II_0102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UA%20FRANCISCO%20CONSTANTINO%20DE%20OLIVEIRA%20-%20PAVIMENTA&#199;&#195;O\PLANILHA%20OR&#199;AMENTARIA_MR%20466%20V1.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g98SE/Projetos/PAVIMENTA&#199;&#195;O%20-%20RUA%20JO&#195;O%20ILUMINATO%20PEREIRA/OR&#199;AMENTO%20-%20RUA%20JO&#195;O%20ILUMINATO%20PEREIR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g98SE/Projetos/PROJETOS%20BRDE/PAVIMENTA&#199;&#195;O%20-%20RUA%20ARCENDINO%20FARIAS/OR&#199;AMENTO%20-%20RUA%20166%20-%20RODOVIA%20MR%20234%20-%20REV.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ARIA"/>
      <sheetName val="Cronograma"/>
      <sheetName val="MEMORIAL DE CAL - PRAÇA SRA"/>
      <sheetName val="MEMORIAL DE CAL - PR TRECHO A"/>
      <sheetName val="MEMORIAL DE CAL - PR TRECHO B"/>
      <sheetName val="BDI"/>
      <sheetName val="PESQUISA"/>
      <sheetName val="COMPOSIÇÕES"/>
    </sheetNames>
    <sheetDataSet>
      <sheetData sheetId="0"/>
      <sheetData sheetId="1"/>
      <sheetData sheetId="2"/>
      <sheetData sheetId="3"/>
      <sheetData sheetId="4"/>
      <sheetData sheetId="5">
        <row r="17">
          <cell r="Q17">
            <v>0.03</v>
          </cell>
          <cell r="R17">
            <v>3.7999999999999999E-2</v>
          </cell>
          <cell r="S17">
            <v>3.4299999999999997E-2</v>
          </cell>
          <cell r="T17">
            <v>5.2900000000000003E-2</v>
          </cell>
          <cell r="U17">
            <v>0.04</v>
          </cell>
          <cell r="V17">
            <v>1.4999999999999999E-2</v>
          </cell>
        </row>
        <row r="18">
          <cell r="Q18">
            <v>8.0000000000000002E-3</v>
          </cell>
          <cell r="R18">
            <v>3.2000000000000002E-3</v>
          </cell>
          <cell r="S18">
            <v>2.8E-3</v>
          </cell>
          <cell r="T18">
            <v>2.5000000000000001E-3</v>
          </cell>
          <cell r="U18">
            <v>8.0999999999999996E-3</v>
          </cell>
          <cell r="V18">
            <v>3.0000000000000001E-3</v>
          </cell>
        </row>
        <row r="19">
          <cell r="Q19">
            <v>9.7000000000000003E-3</v>
          </cell>
          <cell r="R19">
            <v>5.0000000000000001E-3</v>
          </cell>
          <cell r="S19">
            <v>0.01</v>
          </cell>
          <cell r="T19">
            <v>0.01</v>
          </cell>
          <cell r="U19">
            <v>1.46E-2</v>
          </cell>
          <cell r="V19">
            <v>5.5999999999999999E-3</v>
          </cell>
        </row>
        <row r="20">
          <cell r="Q20">
            <v>5.8999999999999999E-3</v>
          </cell>
          <cell r="R20">
            <v>1.0200000000000001E-2</v>
          </cell>
          <cell r="S20">
            <v>9.4000000000000004E-3</v>
          </cell>
          <cell r="T20">
            <v>1.01E-2</v>
          </cell>
          <cell r="U20">
            <v>9.4000000000000004E-3</v>
          </cell>
          <cell r="V20">
            <v>8.5000000000000006E-3</v>
          </cell>
        </row>
        <row r="21">
          <cell r="Q21">
            <v>6.1600000000000002E-2</v>
          </cell>
          <cell r="R21">
            <v>6.6400000000000001E-2</v>
          </cell>
          <cell r="S21">
            <v>6.7400000000000002E-2</v>
          </cell>
          <cell r="T21">
            <v>0.08</v>
          </cell>
          <cell r="U21">
            <v>7.1400000000000005E-2</v>
          </cell>
          <cell r="V21">
            <v>3.5000000000000003E-2</v>
          </cell>
        </row>
        <row r="23">
          <cell r="Q23">
            <v>5.5E-2</v>
          </cell>
          <cell r="R23">
            <v>4.6699999999999998E-2</v>
          </cell>
          <cell r="S23">
            <v>6.7100000000000007E-2</v>
          </cell>
          <cell r="T23">
            <v>7.9299999999999995E-2</v>
          </cell>
          <cell r="U23">
            <v>7.85E-2</v>
          </cell>
          <cell r="V23">
            <v>4.4900000000000002E-2</v>
          </cell>
        </row>
        <row r="24">
          <cell r="Q24">
            <v>0.01</v>
          </cell>
          <cell r="R24">
            <v>7.4000000000000003E-3</v>
          </cell>
          <cell r="S24">
            <v>7.4999999999999997E-3</v>
          </cell>
          <cell r="T24">
            <v>5.5999999999999999E-3</v>
          </cell>
          <cell r="U24">
            <v>1.9900000000000001E-2</v>
          </cell>
          <cell r="V24">
            <v>8.2000000000000007E-3</v>
          </cell>
        </row>
        <row r="25">
          <cell r="Q25">
            <v>1.2699999999999999E-2</v>
          </cell>
          <cell r="R25">
            <v>9.7000000000000003E-3</v>
          </cell>
          <cell r="S25">
            <v>1.7399999999999999E-2</v>
          </cell>
          <cell r="T25">
            <v>1.9699999999999999E-2</v>
          </cell>
          <cell r="U25">
            <v>3.1600000000000003E-2</v>
          </cell>
          <cell r="V25">
            <v>8.8999999999999999E-3</v>
          </cell>
        </row>
        <row r="26">
          <cell r="Q26">
            <v>1.3899999999999999E-2</v>
          </cell>
          <cell r="R26">
            <v>1.21E-2</v>
          </cell>
          <cell r="S26">
            <v>1.17E-2</v>
          </cell>
          <cell r="T26">
            <v>1.11E-2</v>
          </cell>
          <cell r="U26">
            <v>1.3299999999999999E-2</v>
          </cell>
          <cell r="V26">
            <v>1.11E-2</v>
          </cell>
        </row>
        <row r="27">
          <cell r="Q27">
            <v>8.9599999999999999E-2</v>
          </cell>
          <cell r="R27">
            <v>8.6900000000000005E-2</v>
          </cell>
          <cell r="S27">
            <v>9.4E-2</v>
          </cell>
          <cell r="T27">
            <v>9.5100000000000004E-2</v>
          </cell>
          <cell r="U27">
            <v>0.1043</v>
          </cell>
          <cell r="V27">
            <v>6.2199999999999998E-2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MEMORIAL CÁLCULO"/>
      <sheetName val="INDICE DE REAJUSTE "/>
      <sheetName val="AQUISIÇÃO MATERIAL BETUMINOSO"/>
      <sheetName val="Cronograma"/>
      <sheetName val="BDI"/>
      <sheetName val="COMPOSIÇÕES"/>
      <sheetName val="PESQUI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QCI"/>
      <sheetName val="CRONOGRAMA"/>
      <sheetName val="TERRAPL."/>
      <sheetName val="DIM. DREN."/>
      <sheetName val="BACIAS"/>
      <sheetName val="DRENAGEM"/>
      <sheetName val="PAVIM."/>
      <sheetName val="CALÇADA"/>
      <sheetName val="SINALIZAÇÃO"/>
      <sheetName val="BDI"/>
      <sheetName val="COMP. SINAPI"/>
      <sheetName val="COMP. SICRO"/>
      <sheetName val="COTAÇÃO"/>
      <sheetName val="REAJUSTE"/>
      <sheetName val="MAT. BET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0">
          <cell r="F30">
            <v>0.20730000000000001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QCI"/>
      <sheetName val="CRONOGRAMA"/>
      <sheetName val="TERRAPL."/>
      <sheetName val="DIM. DREN."/>
      <sheetName val="BACIAS"/>
      <sheetName val="DRENAGEM"/>
      <sheetName val="PAVIM."/>
      <sheetName val="SINALIZAÇÃO"/>
      <sheetName val="BDI"/>
      <sheetName val="COMP. SINAPI"/>
      <sheetName val="COMP. SICRO"/>
      <sheetName val="COTAÇÃO"/>
      <sheetName val="REAJUSTE"/>
      <sheetName val="MAT. BET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0">
          <cell r="F30">
            <v>0.20730000000000001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www.anp.gov.br/precos-e-defesa-da-concorrencia/precos/precos-de-distribuicao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showGridLines="0" view="pageBreakPreview" zoomScale="85" zoomScaleNormal="55" zoomScaleSheetLayoutView="85" workbookViewId="0">
      <pane ySplit="8" topLeftCell="A9" activePane="bottomLeft" state="frozen"/>
      <selection activeCell="C26" sqref="C26"/>
      <selection pane="bottomLeft" activeCell="B19" sqref="B19"/>
    </sheetView>
  </sheetViews>
  <sheetFormatPr defaultRowHeight="15"/>
  <cols>
    <col min="1" max="1" width="15.140625" style="233" customWidth="1"/>
    <col min="2" max="2" width="114" style="233" customWidth="1"/>
    <col min="3" max="3" width="9.28515625" style="233" bestFit="1" customWidth="1"/>
    <col min="4" max="4" width="12.5703125" style="233" bestFit="1" customWidth="1"/>
    <col min="5" max="5" width="18.140625" style="233" hidden="1" customWidth="1"/>
    <col min="6" max="6" width="18.140625" style="432" hidden="1" customWidth="1"/>
    <col min="7" max="7" width="14.7109375" style="233" customWidth="1"/>
    <col min="8" max="8" width="8.7109375" style="233" bestFit="1" customWidth="1"/>
    <col min="9" max="9" width="16.7109375" style="233" bestFit="1" customWidth="1"/>
    <col min="10" max="10" width="17.28515625" style="233" bestFit="1" customWidth="1"/>
    <col min="11" max="11" width="15.85546875" style="432" bestFit="1" customWidth="1"/>
    <col min="12" max="12" width="13.140625" style="432" customWidth="1"/>
    <col min="13" max="13" width="14.42578125" style="81" bestFit="1" customWidth="1"/>
    <col min="14" max="14" width="15.5703125" style="81" customWidth="1"/>
    <col min="15" max="15" width="9.140625" style="235"/>
    <col min="16" max="16" width="11.5703125" style="233" bestFit="1" customWidth="1"/>
    <col min="17" max="18" width="9.28515625" style="233" bestFit="1" customWidth="1"/>
    <col min="19" max="19" width="8.7109375" style="233" bestFit="1" customWidth="1"/>
    <col min="20" max="20" width="12.28515625" style="233" bestFit="1" customWidth="1"/>
    <col min="21" max="21" width="12.7109375" style="233" bestFit="1" customWidth="1"/>
    <col min="22" max="22" width="16.42578125" style="233" bestFit="1" customWidth="1"/>
    <col min="23" max="16384" width="9.140625" style="233"/>
  </cols>
  <sheetData>
    <row r="1" spans="1:18" ht="33.75">
      <c r="A1" s="528" t="s">
        <v>457</v>
      </c>
      <c r="B1" s="528"/>
      <c r="C1" s="528"/>
      <c r="D1" s="528"/>
      <c r="E1" s="528"/>
      <c r="F1" s="528"/>
      <c r="G1" s="528"/>
      <c r="H1" s="528"/>
      <c r="I1" s="528"/>
      <c r="J1" s="528"/>
      <c r="K1" s="528"/>
      <c r="L1" s="528"/>
      <c r="M1" s="529"/>
      <c r="O1" s="81"/>
      <c r="P1" s="81"/>
      <c r="Q1" s="235"/>
    </row>
    <row r="2" spans="1:18" ht="39.75" customHeight="1">
      <c r="A2" s="518"/>
      <c r="B2" s="430" t="s">
        <v>0</v>
      </c>
      <c r="C2" s="536" t="s">
        <v>456</v>
      </c>
      <c r="D2" s="537"/>
      <c r="E2" s="537"/>
      <c r="F2" s="537"/>
      <c r="G2" s="537"/>
      <c r="H2" s="537"/>
      <c r="I2" s="537"/>
      <c r="J2" s="537"/>
      <c r="K2" s="537"/>
      <c r="L2" s="538"/>
      <c r="M2" s="465"/>
      <c r="N2" s="72"/>
    </row>
    <row r="3" spans="1:18" s="282" customFormat="1" ht="15.75">
      <c r="A3" s="518"/>
      <c r="B3" s="431" t="str">
        <f>TRILHA!$G$2</f>
        <v>PREFEITURA MUNICIPAL DE MARACAJÁ</v>
      </c>
      <c r="C3" s="519" t="str">
        <f>TRILHA!$I$2</f>
        <v>BAIRRO: GARAJUVA</v>
      </c>
      <c r="D3" s="519"/>
      <c r="E3" s="519"/>
      <c r="F3" s="519"/>
      <c r="G3" s="519"/>
      <c r="H3" s="520" t="str">
        <f>TRILHA!$K$2</f>
        <v>MUNICIPIO: MARACAJÁ</v>
      </c>
      <c r="I3" s="520"/>
      <c r="J3" s="519" t="str">
        <f>TRILHA!$M$2</f>
        <v>ESTADO: SANTA CATARINA</v>
      </c>
      <c r="K3" s="519"/>
      <c r="L3" s="519"/>
      <c r="M3" s="318"/>
      <c r="N3" s="318"/>
      <c r="O3" s="319"/>
    </row>
    <row r="4" spans="1:18" s="282" customFormat="1" ht="15.75">
      <c r="A4" s="518"/>
      <c r="B4" s="519" t="str">
        <f>TRILHA!G3</f>
        <v>TRILHA SUSPENSA - PARQUE ECOLÓGICO</v>
      </c>
      <c r="C4" s="519"/>
      <c r="D4" s="519"/>
      <c r="E4" s="519"/>
      <c r="F4" s="519"/>
      <c r="G4" s="519"/>
      <c r="H4" s="519"/>
      <c r="I4" s="519"/>
      <c r="J4" s="521" t="str">
        <f ca="1">TRILHA!$M$3</f>
        <v>DATA: 07/08/24</v>
      </c>
      <c r="K4" s="521"/>
      <c r="L4" s="521"/>
      <c r="M4" s="318"/>
      <c r="N4" s="318"/>
      <c r="O4" s="319"/>
    </row>
    <row r="5" spans="1:18">
      <c r="A5" s="228"/>
      <c r="B5" s="221"/>
      <c r="C5" s="221"/>
      <c r="D5" s="524"/>
      <c r="E5" s="524"/>
      <c r="F5" s="524"/>
      <c r="G5" s="524"/>
      <c r="H5" s="221"/>
      <c r="I5" s="221"/>
      <c r="J5" s="223"/>
      <c r="K5" s="224"/>
      <c r="L5" s="229"/>
      <c r="M5" s="236"/>
      <c r="N5" s="236"/>
    </row>
    <row r="6" spans="1:18">
      <c r="A6" s="525" t="s">
        <v>417</v>
      </c>
      <c r="B6" s="526" t="s">
        <v>2</v>
      </c>
      <c r="C6" s="526" t="s">
        <v>3</v>
      </c>
      <c r="D6" s="526" t="s">
        <v>4</v>
      </c>
      <c r="E6" s="527" t="s">
        <v>290</v>
      </c>
      <c r="F6" s="527" t="s">
        <v>291</v>
      </c>
      <c r="G6" s="526" t="s">
        <v>5</v>
      </c>
      <c r="H6" s="526"/>
      <c r="I6" s="526"/>
      <c r="J6" s="526"/>
      <c r="K6" s="526" t="s">
        <v>9</v>
      </c>
      <c r="L6" s="525" t="s">
        <v>10</v>
      </c>
      <c r="M6" s="74"/>
      <c r="N6" s="74"/>
    </row>
    <row r="7" spans="1:18">
      <c r="A7" s="525"/>
      <c r="B7" s="526"/>
      <c r="C7" s="526"/>
      <c r="D7" s="526"/>
      <c r="E7" s="527"/>
      <c r="F7" s="527"/>
      <c r="G7" s="428" t="s">
        <v>6</v>
      </c>
      <c r="H7" s="428" t="s">
        <v>7</v>
      </c>
      <c r="I7" s="428" t="s">
        <v>11</v>
      </c>
      <c r="J7" s="428" t="s">
        <v>390</v>
      </c>
      <c r="K7" s="526"/>
      <c r="L7" s="525"/>
      <c r="M7" s="74"/>
      <c r="N7" s="74"/>
    </row>
    <row r="8" spans="1:18" s="5" customFormat="1">
      <c r="A8" s="416"/>
      <c r="B8" s="322"/>
      <c r="C8" s="322"/>
      <c r="D8" s="322"/>
      <c r="E8" s="322"/>
      <c r="F8" s="323"/>
      <c r="G8" s="322"/>
      <c r="H8" s="322"/>
      <c r="I8" s="322"/>
      <c r="J8" s="322"/>
      <c r="K8" s="323"/>
      <c r="L8" s="324"/>
      <c r="M8" s="75"/>
      <c r="N8" s="75"/>
      <c r="O8" s="17"/>
    </row>
    <row r="9" spans="1:18" s="5" customFormat="1">
      <c r="A9" s="429">
        <v>1</v>
      </c>
      <c r="B9" s="522" t="s">
        <v>212</v>
      </c>
      <c r="C9" s="522"/>
      <c r="D9" s="522"/>
      <c r="E9" s="522"/>
      <c r="F9" s="522"/>
      <c r="G9" s="522"/>
      <c r="H9" s="522"/>
      <c r="I9" s="522"/>
      <c r="J9" s="326" t="e">
        <f>SUM(J10:J11)</f>
        <v>#REF!</v>
      </c>
      <c r="K9" s="523"/>
      <c r="L9" s="523"/>
      <c r="M9" s="74"/>
      <c r="N9" s="74"/>
      <c r="O9" s="17"/>
      <c r="Q9" s="32"/>
      <c r="R9" s="32"/>
    </row>
    <row r="10" spans="1:18" ht="45">
      <c r="A10" s="193" t="s">
        <v>12</v>
      </c>
      <c r="B10" s="192" t="s">
        <v>398</v>
      </c>
      <c r="C10" s="435" t="s">
        <v>14</v>
      </c>
      <c r="D10" s="436" t="e">
        <f>#REF!</f>
        <v>#REF!</v>
      </c>
      <c r="E10" s="437"/>
      <c r="F10" s="437"/>
      <c r="G10" s="386">
        <v>9.5500000000000007</v>
      </c>
      <c r="H10" s="439">
        <f>BDI!$F$30</f>
        <v>0.20730000000000001</v>
      </c>
      <c r="I10" s="440">
        <f>TRUNC(G10*(1+H10),2)</f>
        <v>11.52</v>
      </c>
      <c r="J10" s="441" t="e">
        <f t="shared" ref="J10:J11" si="0">TRUNC(D10*I10,2)</f>
        <v>#REF!</v>
      </c>
      <c r="K10" s="193" t="s">
        <v>440</v>
      </c>
      <c r="L10" s="442">
        <v>101232</v>
      </c>
      <c r="M10" s="76"/>
      <c r="N10" s="82"/>
    </row>
    <row r="11" spans="1:18">
      <c r="A11" s="193" t="s">
        <v>386</v>
      </c>
      <c r="B11" s="192" t="s">
        <v>399</v>
      </c>
      <c r="C11" s="435" t="s">
        <v>14</v>
      </c>
      <c r="D11" s="436" t="e">
        <f>#REF!</f>
        <v>#REF!</v>
      </c>
      <c r="E11" s="437"/>
      <c r="F11" s="437"/>
      <c r="G11" s="386">
        <v>1.5</v>
      </c>
      <c r="H11" s="439">
        <f>BDI!$F$30</f>
        <v>0.20730000000000001</v>
      </c>
      <c r="I11" s="440">
        <f>TRUNC(G11*(1+H11),2)</f>
        <v>1.81</v>
      </c>
      <c r="J11" s="441" t="e">
        <f t="shared" si="0"/>
        <v>#REF!</v>
      </c>
      <c r="K11" s="193" t="s">
        <v>440</v>
      </c>
      <c r="L11" s="442">
        <v>100574</v>
      </c>
      <c r="M11" s="76"/>
      <c r="N11" s="82"/>
    </row>
    <row r="12" spans="1:18" s="5" customFormat="1">
      <c r="A12" s="429">
        <v>2</v>
      </c>
      <c r="B12" s="522" t="s">
        <v>182</v>
      </c>
      <c r="C12" s="522"/>
      <c r="D12" s="522"/>
      <c r="E12" s="522"/>
      <c r="F12" s="522"/>
      <c r="G12" s="522"/>
      <c r="H12" s="522"/>
      <c r="I12" s="522"/>
      <c r="J12" s="326" t="e">
        <f>SUM(J13:J16)</f>
        <v>#REF!</v>
      </c>
      <c r="K12" s="523"/>
      <c r="L12" s="523"/>
      <c r="M12" s="74"/>
      <c r="N12" s="74"/>
      <c r="O12" s="17"/>
    </row>
    <row r="13" spans="1:18" ht="30">
      <c r="A13" s="193" t="s">
        <v>18</v>
      </c>
      <c r="B13" s="192" t="s">
        <v>415</v>
      </c>
      <c r="C13" s="435" t="s">
        <v>13</v>
      </c>
      <c r="D13" s="443" t="e">
        <f>#REF!</f>
        <v>#REF!</v>
      </c>
      <c r="E13" s="444"/>
      <c r="F13" s="444"/>
      <c r="G13" s="386">
        <v>1609.63</v>
      </c>
      <c r="H13" s="439">
        <f>BDI!$F$30</f>
        <v>0.20730000000000001</v>
      </c>
      <c r="I13" s="440">
        <f t="shared" ref="I13:I16" si="1">TRUNC(G13*(1+H13),2)</f>
        <v>1943.3</v>
      </c>
      <c r="J13" s="441" t="e">
        <f>TRUNC(D13*I13,2)</f>
        <v>#REF!</v>
      </c>
      <c r="K13" s="193" t="s">
        <v>440</v>
      </c>
      <c r="L13" s="442">
        <v>97956</v>
      </c>
      <c r="M13" s="76"/>
      <c r="N13" s="76"/>
    </row>
    <row r="14" spans="1:18" ht="30">
      <c r="A14" s="193" t="s">
        <v>19</v>
      </c>
      <c r="B14" s="192" t="s">
        <v>438</v>
      </c>
      <c r="C14" s="435" t="s">
        <v>15</v>
      </c>
      <c r="D14" s="444" t="e">
        <f>#REF!</f>
        <v>#REF!</v>
      </c>
      <c r="E14" s="444"/>
      <c r="F14" s="444"/>
      <c r="G14" s="386">
        <v>34.229999999999997</v>
      </c>
      <c r="H14" s="439">
        <f>BDI!$F$30</f>
        <v>0.20730000000000001</v>
      </c>
      <c r="I14" s="440">
        <f t="shared" si="1"/>
        <v>41.32</v>
      </c>
      <c r="J14" s="441" t="e">
        <f>TRUNC(D14*I14,2)</f>
        <v>#REF!</v>
      </c>
      <c r="K14" s="193" t="s">
        <v>440</v>
      </c>
      <c r="L14" s="442">
        <v>92809</v>
      </c>
      <c r="M14" s="76"/>
      <c r="N14" s="76"/>
    </row>
    <row r="15" spans="1:18" ht="45">
      <c r="A15" s="193" t="s">
        <v>130</v>
      </c>
      <c r="B15" s="191" t="s">
        <v>363</v>
      </c>
      <c r="C15" s="435" t="s">
        <v>14</v>
      </c>
      <c r="D15" s="445" t="e">
        <f>#REF!</f>
        <v>#REF!</v>
      </c>
      <c r="E15" s="445"/>
      <c r="F15" s="445"/>
      <c r="G15" s="386">
        <v>7.69</v>
      </c>
      <c r="H15" s="439">
        <f>BDI!$F$30</f>
        <v>0.20730000000000001</v>
      </c>
      <c r="I15" s="440">
        <f t="shared" si="1"/>
        <v>9.2799999999999994</v>
      </c>
      <c r="J15" s="441" t="e">
        <f t="shared" ref="J15:J16" si="2">TRUNC(D15*I15,2)</f>
        <v>#REF!</v>
      </c>
      <c r="K15" s="193" t="s">
        <v>440</v>
      </c>
      <c r="L15" s="442">
        <v>90106</v>
      </c>
      <c r="M15" s="76"/>
      <c r="N15" s="76"/>
    </row>
    <row r="16" spans="1:18" ht="45">
      <c r="A16" s="193" t="s">
        <v>188</v>
      </c>
      <c r="B16" s="192" t="s">
        <v>364</v>
      </c>
      <c r="C16" s="435" t="s">
        <v>14</v>
      </c>
      <c r="D16" s="445" t="e">
        <f>#REF!</f>
        <v>#REF!</v>
      </c>
      <c r="E16" s="445"/>
      <c r="F16" s="445"/>
      <c r="G16" s="386">
        <v>18.739999999999998</v>
      </c>
      <c r="H16" s="439">
        <f>BDI!$F$30</f>
        <v>0.20730000000000001</v>
      </c>
      <c r="I16" s="440">
        <f t="shared" si="1"/>
        <v>22.62</v>
      </c>
      <c r="J16" s="441" t="e">
        <f t="shared" si="2"/>
        <v>#REF!</v>
      </c>
      <c r="K16" s="193" t="s">
        <v>440</v>
      </c>
      <c r="L16" s="442">
        <v>93379</v>
      </c>
      <c r="M16" s="76"/>
      <c r="N16" s="82"/>
    </row>
    <row r="17" spans="1:16" s="5" customFormat="1">
      <c r="A17" s="428">
        <v>3</v>
      </c>
      <c r="B17" s="539" t="s">
        <v>183</v>
      </c>
      <c r="C17" s="539"/>
      <c r="D17" s="539"/>
      <c r="E17" s="539"/>
      <c r="F17" s="539"/>
      <c r="G17" s="539"/>
      <c r="H17" s="539"/>
      <c r="I17" s="539"/>
      <c r="J17" s="328" t="e">
        <f>SUM(J18:J26)</f>
        <v>#REF!</v>
      </c>
      <c r="K17" s="526"/>
      <c r="L17" s="526"/>
      <c r="M17" s="74"/>
      <c r="N17" s="74"/>
      <c r="O17" s="17"/>
    </row>
    <row r="18" spans="1:16">
      <c r="A18" s="193" t="s">
        <v>20</v>
      </c>
      <c r="B18" s="192" t="s">
        <v>396</v>
      </c>
      <c r="C18" s="435" t="s">
        <v>17</v>
      </c>
      <c r="D18" s="446">
        <f>TRILHA!M29</f>
        <v>3690</v>
      </c>
      <c r="E18" s="446"/>
      <c r="F18" s="446"/>
      <c r="G18" s="386">
        <v>2.65</v>
      </c>
      <c r="H18" s="439">
        <f>BDI!$F$30</f>
        <v>0.20730000000000001</v>
      </c>
      <c r="I18" s="440">
        <f t="shared" ref="I18:I26" si="3">TRUNC(G18*(1+H18),2)</f>
        <v>3.19</v>
      </c>
      <c r="J18" s="441">
        <f t="shared" ref="J18:J26" si="4">TRUNC(D18*I18,2)</f>
        <v>11771.1</v>
      </c>
      <c r="K18" s="193" t="s">
        <v>440</v>
      </c>
      <c r="L18" s="442">
        <v>100576</v>
      </c>
      <c r="M18" s="76"/>
      <c r="N18" s="82"/>
    </row>
    <row r="19" spans="1:16" ht="30">
      <c r="A19" s="193" t="s">
        <v>21</v>
      </c>
      <c r="B19" s="192" t="s">
        <v>439</v>
      </c>
      <c r="C19" s="435" t="s">
        <v>14</v>
      </c>
      <c r="D19" s="446">
        <f>TRILHA!M44</f>
        <v>3690</v>
      </c>
      <c r="E19" s="446"/>
      <c r="F19" s="446"/>
      <c r="G19" s="378">
        <v>125.87</v>
      </c>
      <c r="H19" s="439">
        <f>BDI!$F$30</f>
        <v>0.20730000000000001</v>
      </c>
      <c r="I19" s="440">
        <f t="shared" si="3"/>
        <v>151.96</v>
      </c>
      <c r="J19" s="441">
        <f t="shared" si="4"/>
        <v>560732.4</v>
      </c>
      <c r="K19" s="193" t="s">
        <v>440</v>
      </c>
      <c r="L19" s="442">
        <v>96399</v>
      </c>
      <c r="M19" s="76"/>
      <c r="N19" s="76"/>
    </row>
    <row r="20" spans="1:16">
      <c r="A20" s="193" t="s">
        <v>50</v>
      </c>
      <c r="B20" s="191" t="s">
        <v>443</v>
      </c>
      <c r="C20" s="435" t="s">
        <v>387</v>
      </c>
      <c r="D20" s="448">
        <f>TRUNC(D19*2.7,2)</f>
        <v>9963</v>
      </c>
      <c r="E20" s="437"/>
      <c r="F20" s="437"/>
      <c r="G20" s="379">
        <v>0.86</v>
      </c>
      <c r="H20" s="439">
        <f>BDI!$F$30</f>
        <v>0.20730000000000001</v>
      </c>
      <c r="I20" s="440">
        <f t="shared" si="3"/>
        <v>1.03</v>
      </c>
      <c r="J20" s="441">
        <f t="shared" si="4"/>
        <v>10261.89</v>
      </c>
      <c r="K20" s="193" t="s">
        <v>440</v>
      </c>
      <c r="L20" s="442">
        <v>93593</v>
      </c>
      <c r="M20" s="76"/>
      <c r="N20" s="82"/>
    </row>
    <row r="21" spans="1:16" ht="30">
      <c r="A21" s="193" t="s">
        <v>22</v>
      </c>
      <c r="B21" s="192" t="s">
        <v>414</v>
      </c>
      <c r="C21" s="435" t="s">
        <v>14</v>
      </c>
      <c r="D21" s="446">
        <f>TRILHA!M49</f>
        <v>2730.6</v>
      </c>
      <c r="E21" s="446"/>
      <c r="F21" s="446"/>
      <c r="G21" s="378">
        <f>'COMP. SINAPI'!G26</f>
        <v>30.64</v>
      </c>
      <c r="H21" s="439">
        <f>BDI!$F$30</f>
        <v>0.20730000000000001</v>
      </c>
      <c r="I21" s="438">
        <f t="shared" si="3"/>
        <v>36.99</v>
      </c>
      <c r="J21" s="447">
        <f t="shared" si="4"/>
        <v>101004.89</v>
      </c>
      <c r="K21" s="193" t="s">
        <v>388</v>
      </c>
      <c r="L21" s="442">
        <v>96396</v>
      </c>
      <c r="M21" s="76"/>
      <c r="N21" s="76"/>
    </row>
    <row r="22" spans="1:16" ht="30">
      <c r="A22" s="193" t="s">
        <v>51</v>
      </c>
      <c r="B22" s="191" t="s">
        <v>444</v>
      </c>
      <c r="C22" s="435" t="s">
        <v>387</v>
      </c>
      <c r="D22" s="448">
        <f>TRUNC(D21*2.7,2)</f>
        <v>7372.62</v>
      </c>
      <c r="E22" s="437"/>
      <c r="F22" s="437"/>
      <c r="G22" s="379">
        <v>0.86</v>
      </c>
      <c r="H22" s="439">
        <f>BDI!$F$30</f>
        <v>0.20730000000000001</v>
      </c>
      <c r="I22" s="440">
        <f t="shared" si="3"/>
        <v>1.03</v>
      </c>
      <c r="J22" s="441">
        <f t="shared" si="4"/>
        <v>7593.79</v>
      </c>
      <c r="K22" s="193" t="s">
        <v>440</v>
      </c>
      <c r="L22" s="442">
        <v>93593</v>
      </c>
      <c r="M22" s="76"/>
      <c r="N22" s="82"/>
    </row>
    <row r="23" spans="1:16">
      <c r="A23" s="193" t="s">
        <v>52</v>
      </c>
      <c r="B23" s="449" t="s">
        <v>293</v>
      </c>
      <c r="C23" s="450" t="s">
        <v>17</v>
      </c>
      <c r="D23" s="451">
        <f>TRILHA!M24</f>
        <v>5461.2000000000007</v>
      </c>
      <c r="E23" s="452">
        <v>0.41</v>
      </c>
      <c r="F23" s="453" t="s">
        <v>272</v>
      </c>
      <c r="G23" s="379">
        <f>TRUNC(VLOOKUP(F23,REAJUSTE!A:E,5,FALSE)*E23,2)</f>
        <v>0.42</v>
      </c>
      <c r="H23" s="439">
        <f>BDI!$F$30</f>
        <v>0.20730000000000001</v>
      </c>
      <c r="I23" s="440">
        <f t="shared" si="3"/>
        <v>0.5</v>
      </c>
      <c r="J23" s="441">
        <f t="shared" si="4"/>
        <v>2730.6</v>
      </c>
      <c r="K23" s="454" t="s">
        <v>441</v>
      </c>
      <c r="L23" s="455">
        <v>4011352</v>
      </c>
      <c r="M23" s="76"/>
      <c r="N23" s="82"/>
      <c r="P23" s="88"/>
    </row>
    <row r="24" spans="1:16">
      <c r="A24" s="193" t="s">
        <v>400</v>
      </c>
      <c r="B24" s="449" t="s">
        <v>294</v>
      </c>
      <c r="C24" s="456" t="s">
        <v>17</v>
      </c>
      <c r="D24" s="457" t="e">
        <f>TRILHA!#REF!</f>
        <v>#REF!</v>
      </c>
      <c r="E24" s="452">
        <v>0.28000000000000003</v>
      </c>
      <c r="F24" s="453" t="s">
        <v>272</v>
      </c>
      <c r="G24" s="379">
        <f>TRUNC(VLOOKUP(F24,REAJUSTE!A:E,5,FALSE)*E24,2)</f>
        <v>0.28999999999999998</v>
      </c>
      <c r="H24" s="439">
        <f>BDI!$F$30</f>
        <v>0.20730000000000001</v>
      </c>
      <c r="I24" s="440">
        <f t="shared" si="3"/>
        <v>0.35</v>
      </c>
      <c r="J24" s="441" t="e">
        <f t="shared" si="4"/>
        <v>#REF!</v>
      </c>
      <c r="K24" s="454" t="s">
        <v>441</v>
      </c>
      <c r="L24" s="458">
        <v>4011353</v>
      </c>
      <c r="M24" s="76"/>
      <c r="N24" s="82"/>
      <c r="P24" s="88"/>
    </row>
    <row r="25" spans="1:16">
      <c r="A25" s="193" t="s">
        <v>128</v>
      </c>
      <c r="B25" s="449" t="s">
        <v>413</v>
      </c>
      <c r="C25" s="435" t="s">
        <v>14</v>
      </c>
      <c r="D25" s="457" t="e">
        <f>TRILHA!#REF!</f>
        <v>#REF!</v>
      </c>
      <c r="E25" s="437"/>
      <c r="F25" s="437"/>
      <c r="G25" s="264">
        <v>1403.14</v>
      </c>
      <c r="H25" s="439">
        <f>BDI!$F$30</f>
        <v>0.20730000000000001</v>
      </c>
      <c r="I25" s="440">
        <f t="shared" si="3"/>
        <v>1694.01</v>
      </c>
      <c r="J25" s="441" t="e">
        <f t="shared" si="4"/>
        <v>#REF!</v>
      </c>
      <c r="K25" s="193" t="s">
        <v>440</v>
      </c>
      <c r="L25" s="455">
        <v>95995</v>
      </c>
      <c r="M25" s="76"/>
      <c r="N25" s="82"/>
      <c r="P25" s="88"/>
    </row>
    <row r="26" spans="1:16" ht="30">
      <c r="A26" s="193" t="s">
        <v>129</v>
      </c>
      <c r="B26" s="191" t="s">
        <v>445</v>
      </c>
      <c r="C26" s="435" t="s">
        <v>387</v>
      </c>
      <c r="D26" s="457" t="e">
        <f>TRUNC(D25*2.7,2)</f>
        <v>#REF!</v>
      </c>
      <c r="E26" s="437"/>
      <c r="F26" s="437"/>
      <c r="G26" s="379">
        <v>0.86</v>
      </c>
      <c r="H26" s="439">
        <f>BDI!$F$30</f>
        <v>0.20730000000000001</v>
      </c>
      <c r="I26" s="440">
        <f t="shared" si="3"/>
        <v>1.03</v>
      </c>
      <c r="J26" s="441" t="e">
        <f t="shared" si="4"/>
        <v>#REF!</v>
      </c>
      <c r="K26" s="193" t="s">
        <v>440</v>
      </c>
      <c r="L26" s="442">
        <v>93593</v>
      </c>
      <c r="M26" s="76"/>
      <c r="N26" s="82"/>
      <c r="P26" s="88"/>
    </row>
    <row r="27" spans="1:16" s="5" customFormat="1">
      <c r="A27" s="428">
        <v>4</v>
      </c>
      <c r="B27" s="540" t="s">
        <v>292</v>
      </c>
      <c r="C27" s="541"/>
      <c r="D27" s="541"/>
      <c r="E27" s="541"/>
      <c r="F27" s="541"/>
      <c r="G27" s="541"/>
      <c r="H27" s="541"/>
      <c r="I27" s="542"/>
      <c r="J27" s="330" t="e">
        <f>SUM(J28:J31)</f>
        <v>#REF!</v>
      </c>
      <c r="K27" s="543"/>
      <c r="L27" s="544"/>
      <c r="M27" s="381"/>
      <c r="N27" s="74"/>
      <c r="O27" s="17"/>
    </row>
    <row r="28" spans="1:16">
      <c r="A28" s="454" t="s">
        <v>53</v>
      </c>
      <c r="B28" s="449" t="s">
        <v>407</v>
      </c>
      <c r="C28" s="450" t="s">
        <v>172</v>
      </c>
      <c r="D28" s="451" t="e">
        <f>TRILHA!#REF!</f>
        <v>#REF!</v>
      </c>
      <c r="E28" s="459"/>
      <c r="F28" s="460"/>
      <c r="G28" s="264">
        <f>ROUND('MAT. BET.'!E7*1000*1.17,2)</f>
        <v>3048.56</v>
      </c>
      <c r="H28" s="439">
        <v>0.15</v>
      </c>
      <c r="I28" s="461">
        <f t="shared" ref="I28:I29" si="5">G28*(1+H28)</f>
        <v>3505.8439999999996</v>
      </c>
      <c r="J28" s="441" t="e">
        <f>TRUNC(D28*I28,2)</f>
        <v>#REF!</v>
      </c>
      <c r="K28" s="454" t="s">
        <v>442</v>
      </c>
      <c r="L28" s="462" t="s">
        <v>171</v>
      </c>
      <c r="M28" s="235"/>
      <c r="N28" s="88"/>
      <c r="O28" s="233"/>
    </row>
    <row r="29" spans="1:16" ht="28.5">
      <c r="A29" s="454" t="s">
        <v>401</v>
      </c>
      <c r="B29" s="449" t="s">
        <v>408</v>
      </c>
      <c r="C29" s="450" t="s">
        <v>172</v>
      </c>
      <c r="D29" s="451" t="e">
        <f>D28</f>
        <v>#REF!</v>
      </c>
      <c r="E29" s="459"/>
      <c r="F29" s="460"/>
      <c r="G29" s="264" t="e">
        <f>TRILHA!#REF!</f>
        <v>#REF!</v>
      </c>
      <c r="H29" s="439">
        <v>0.15</v>
      </c>
      <c r="I29" s="461" t="e">
        <f t="shared" si="5"/>
        <v>#REF!</v>
      </c>
      <c r="J29" s="441" t="e">
        <f>TRUNC(D29*I29,2)</f>
        <v>#REF!</v>
      </c>
      <c r="K29" s="545" t="s">
        <v>409</v>
      </c>
      <c r="L29" s="546"/>
      <c r="M29" s="235"/>
      <c r="N29" s="88"/>
      <c r="O29" s="233"/>
    </row>
    <row r="30" spans="1:16">
      <c r="A30" s="454" t="s">
        <v>23</v>
      </c>
      <c r="B30" s="449" t="s">
        <v>410</v>
      </c>
      <c r="C30" s="450" t="s">
        <v>172</v>
      </c>
      <c r="D30" s="457" t="e">
        <f>TRILHA!#REF!</f>
        <v>#REF!</v>
      </c>
      <c r="E30" s="459"/>
      <c r="F30" s="460"/>
      <c r="G30" s="264">
        <f>ROUND('MAT. BET.'!E8*1000*1.17,2)</f>
        <v>2900.15</v>
      </c>
      <c r="H30" s="439">
        <v>0.15</v>
      </c>
      <c r="I30" s="461">
        <f>G30*(1+H30)</f>
        <v>3335.1724999999997</v>
      </c>
      <c r="J30" s="441" t="e">
        <f>TRUNC(D30*I30,2)</f>
        <v>#REF!</v>
      </c>
      <c r="K30" s="454" t="s">
        <v>442</v>
      </c>
      <c r="L30" s="455" t="s">
        <v>217</v>
      </c>
      <c r="M30" s="235"/>
      <c r="N30" s="88"/>
      <c r="O30" s="233"/>
    </row>
    <row r="31" spans="1:16" ht="28.5">
      <c r="A31" s="454" t="s">
        <v>411</v>
      </c>
      <c r="B31" s="449" t="s">
        <v>412</v>
      </c>
      <c r="C31" s="450" t="s">
        <v>172</v>
      </c>
      <c r="D31" s="457" t="e">
        <f>D30</f>
        <v>#REF!</v>
      </c>
      <c r="E31" s="459"/>
      <c r="F31" s="460"/>
      <c r="G31" s="264" t="e">
        <f>TRILHA!#REF!</f>
        <v>#REF!</v>
      </c>
      <c r="H31" s="439">
        <v>0.15</v>
      </c>
      <c r="I31" s="461" t="e">
        <f>G31*(1+H31)</f>
        <v>#REF!</v>
      </c>
      <c r="J31" s="441" t="e">
        <f>TRUNC(D31*I31,2)</f>
        <v>#REF!</v>
      </c>
      <c r="K31" s="545" t="s">
        <v>409</v>
      </c>
      <c r="L31" s="546"/>
      <c r="M31" s="235"/>
      <c r="N31" s="88"/>
      <c r="O31" s="233"/>
    </row>
    <row r="32" spans="1:16" s="5" customFormat="1">
      <c r="A32" s="429">
        <v>5</v>
      </c>
      <c r="B32" s="530" t="s">
        <v>215</v>
      </c>
      <c r="C32" s="531"/>
      <c r="D32" s="531"/>
      <c r="E32" s="531"/>
      <c r="F32" s="531"/>
      <c r="G32" s="531"/>
      <c r="H32" s="531"/>
      <c r="I32" s="532"/>
      <c r="J32" s="326" t="e">
        <f>SUM(J33:J42)</f>
        <v>#REF!</v>
      </c>
      <c r="K32" s="533"/>
      <c r="L32" s="534"/>
      <c r="M32" s="74"/>
      <c r="N32" s="74"/>
      <c r="O32" s="17"/>
    </row>
    <row r="33" spans="1:21" ht="30">
      <c r="A33" s="193" t="s">
        <v>365</v>
      </c>
      <c r="B33" s="192" t="s">
        <v>397</v>
      </c>
      <c r="C33" s="435" t="s">
        <v>17</v>
      </c>
      <c r="D33" s="446" t="e">
        <f>#REF!</f>
        <v>#REF!</v>
      </c>
      <c r="E33" s="446"/>
      <c r="F33" s="446"/>
      <c r="G33" s="378">
        <v>5.64</v>
      </c>
      <c r="H33" s="439">
        <f>BDI!$F$30</f>
        <v>0.20730000000000001</v>
      </c>
      <c r="I33" s="441">
        <f t="shared" ref="I33:I42" si="6">TRUNC(G33*(1+H33),2)</f>
        <v>6.8</v>
      </c>
      <c r="J33" s="441" t="e">
        <f t="shared" ref="J33:J40" si="7">TRUNC(D33*I33,2)</f>
        <v>#REF!</v>
      </c>
      <c r="K33" s="193" t="s">
        <v>440</v>
      </c>
      <c r="L33" s="463">
        <v>102512</v>
      </c>
      <c r="M33" s="78"/>
      <c r="N33" s="82"/>
      <c r="R33" s="234"/>
      <c r="S33" s="234"/>
      <c r="T33" s="234"/>
      <c r="U33" s="234"/>
    </row>
    <row r="34" spans="1:21" ht="30">
      <c r="A34" s="193" t="s">
        <v>366</v>
      </c>
      <c r="B34" s="192" t="s">
        <v>432</v>
      </c>
      <c r="C34" s="435" t="s">
        <v>17</v>
      </c>
      <c r="D34" s="446" t="e">
        <f>#REF!</f>
        <v>#REF!</v>
      </c>
      <c r="E34" s="446"/>
      <c r="F34" s="446"/>
      <c r="G34" s="378">
        <v>24.59</v>
      </c>
      <c r="H34" s="439">
        <f>BDI!$F$30</f>
        <v>0.20730000000000001</v>
      </c>
      <c r="I34" s="441">
        <f t="shared" si="6"/>
        <v>29.68</v>
      </c>
      <c r="J34" s="441" t="e">
        <f t="shared" si="7"/>
        <v>#REF!</v>
      </c>
      <c r="K34" s="193" t="s">
        <v>440</v>
      </c>
      <c r="L34" s="463">
        <v>102509</v>
      </c>
      <c r="M34" s="78"/>
      <c r="N34" s="82"/>
      <c r="R34" s="234"/>
      <c r="S34" s="234"/>
      <c r="T34" s="234"/>
      <c r="U34" s="234"/>
    </row>
    <row r="35" spans="1:21">
      <c r="A35" s="193" t="s">
        <v>367</v>
      </c>
      <c r="B35" s="192" t="s">
        <v>446</v>
      </c>
      <c r="C35" s="435" t="s">
        <v>13</v>
      </c>
      <c r="D35" s="443" t="e">
        <f>#REF!</f>
        <v>#REF!</v>
      </c>
      <c r="E35" s="452">
        <v>255.07</v>
      </c>
      <c r="F35" s="453" t="s">
        <v>279</v>
      </c>
      <c r="G35" s="379">
        <f>TRUNC(VLOOKUP(F35,REAJUSTE!A:E,5,FALSE)*E35,2)</f>
        <v>254.92</v>
      </c>
      <c r="H35" s="439">
        <f>[3]BDI!$F$30</f>
        <v>0.20730000000000001</v>
      </c>
      <c r="I35" s="440">
        <f t="shared" si="6"/>
        <v>307.76</v>
      </c>
      <c r="J35" s="441" t="e">
        <f t="shared" si="7"/>
        <v>#REF!</v>
      </c>
      <c r="K35" s="454" t="s">
        <v>441</v>
      </c>
      <c r="L35" s="463">
        <v>5213444</v>
      </c>
      <c r="M35" s="433"/>
      <c r="N35" s="82"/>
    </row>
    <row r="36" spans="1:21">
      <c r="A36" s="193" t="s">
        <v>368</v>
      </c>
      <c r="B36" s="192" t="s">
        <v>447</v>
      </c>
      <c r="C36" s="435" t="s">
        <v>13</v>
      </c>
      <c r="D36" s="443" t="e">
        <f>D35</f>
        <v>#REF!</v>
      </c>
      <c r="E36" s="452">
        <v>414.69</v>
      </c>
      <c r="F36" s="453" t="s">
        <v>279</v>
      </c>
      <c r="G36" s="379">
        <f>TRUNC(VLOOKUP(F36,REAJUSTE!A:E,5,FALSE)*E36,2)</f>
        <v>414.45</v>
      </c>
      <c r="H36" s="439">
        <f>[3]BDI!$F$30</f>
        <v>0.20730000000000001</v>
      </c>
      <c r="I36" s="440">
        <f t="shared" si="6"/>
        <v>500.36</v>
      </c>
      <c r="J36" s="441" t="e">
        <f t="shared" si="7"/>
        <v>#REF!</v>
      </c>
      <c r="K36" s="454" t="s">
        <v>441</v>
      </c>
      <c r="L36" s="463">
        <v>5213855</v>
      </c>
      <c r="M36" s="78"/>
      <c r="N36" s="82"/>
      <c r="R36" s="234"/>
      <c r="S36" s="234"/>
      <c r="T36" s="234"/>
      <c r="U36" s="234"/>
    </row>
    <row r="37" spans="1:21">
      <c r="A37" s="193" t="s">
        <v>369</v>
      </c>
      <c r="B37" s="192" t="s">
        <v>453</v>
      </c>
      <c r="C37" s="435" t="s">
        <v>13</v>
      </c>
      <c r="D37" s="443" t="e">
        <f>#REF!</f>
        <v>#REF!</v>
      </c>
      <c r="E37" s="452">
        <v>250.39</v>
      </c>
      <c r="F37" s="453" t="s">
        <v>279</v>
      </c>
      <c r="G37" s="379">
        <f>TRUNC(VLOOKUP(F37,REAJUSTE!A:E,5,FALSE)*E37,2)</f>
        <v>250.24</v>
      </c>
      <c r="H37" s="439">
        <f>[4]BDI!$F$30</f>
        <v>0.20730000000000001</v>
      </c>
      <c r="I37" s="441">
        <f>TRUNC(G37*(1+H37),2)</f>
        <v>302.11</v>
      </c>
      <c r="J37" s="440" t="e">
        <f>TRUNC(D37*I37,2)</f>
        <v>#REF!</v>
      </c>
      <c r="K37" s="454" t="s">
        <v>452</v>
      </c>
      <c r="L37" s="463">
        <v>5213440</v>
      </c>
      <c r="M37" s="78"/>
      <c r="N37" s="82"/>
      <c r="R37" s="234"/>
      <c r="S37" s="234"/>
      <c r="T37" s="234"/>
      <c r="U37" s="234"/>
    </row>
    <row r="38" spans="1:21" ht="30">
      <c r="A38" s="193" t="s">
        <v>370</v>
      </c>
      <c r="B38" s="192" t="s">
        <v>451</v>
      </c>
      <c r="C38" s="435" t="s">
        <v>13</v>
      </c>
      <c r="D38" s="443" t="e">
        <f>D37</f>
        <v>#REF!</v>
      </c>
      <c r="E38" s="452">
        <v>461.07</v>
      </c>
      <c r="F38" s="453" t="s">
        <v>279</v>
      </c>
      <c r="G38" s="379">
        <f>TRUNC(VLOOKUP(F38,REAJUSTE!A:E,5,FALSE)*E38,2)</f>
        <v>460.8</v>
      </c>
      <c r="H38" s="439">
        <f>[4]BDI!$F$30</f>
        <v>0.20730000000000001</v>
      </c>
      <c r="I38" s="441">
        <f t="shared" si="6"/>
        <v>556.32000000000005</v>
      </c>
      <c r="J38" s="440" t="e">
        <f t="shared" si="7"/>
        <v>#REF!</v>
      </c>
      <c r="K38" s="454" t="s">
        <v>452</v>
      </c>
      <c r="L38" s="463">
        <v>5213863</v>
      </c>
      <c r="M38" s="78"/>
      <c r="N38" s="82"/>
      <c r="R38" s="234"/>
      <c r="S38" s="234"/>
      <c r="T38" s="234"/>
      <c r="U38" s="234"/>
    </row>
    <row r="39" spans="1:21">
      <c r="A39" s="193" t="s">
        <v>448</v>
      </c>
      <c r="B39" s="192" t="s">
        <v>433</v>
      </c>
      <c r="C39" s="435" t="s">
        <v>13</v>
      </c>
      <c r="D39" s="464" t="e">
        <f>#REF!</f>
        <v>#REF!</v>
      </c>
      <c r="E39" s="452">
        <v>919.53</v>
      </c>
      <c r="F39" s="453" t="s">
        <v>279</v>
      </c>
      <c r="G39" s="379">
        <f>TRUNC(VLOOKUP(F39,REAJUSTE!A:E,5,FALSE)*E39,2)</f>
        <v>919</v>
      </c>
      <c r="H39" s="439">
        <f>BDI!$F$30</f>
        <v>0.20730000000000001</v>
      </c>
      <c r="I39" s="440">
        <f t="shared" si="6"/>
        <v>1109.5</v>
      </c>
      <c r="J39" s="441" t="e">
        <f t="shared" si="7"/>
        <v>#REF!</v>
      </c>
      <c r="K39" s="454" t="s">
        <v>441</v>
      </c>
      <c r="L39" s="463">
        <v>5213489</v>
      </c>
      <c r="M39" s="236"/>
      <c r="N39" s="236"/>
      <c r="R39" s="234"/>
      <c r="S39" s="234"/>
      <c r="T39" s="234"/>
      <c r="U39" s="234"/>
    </row>
    <row r="40" spans="1:21">
      <c r="A40" s="193" t="s">
        <v>449</v>
      </c>
      <c r="B40" s="192" t="s">
        <v>358</v>
      </c>
      <c r="C40" s="435" t="s">
        <v>13</v>
      </c>
      <c r="D40" s="464" t="e">
        <f>D39*2</f>
        <v>#REF!</v>
      </c>
      <c r="E40" s="452">
        <v>121.16</v>
      </c>
      <c r="F40" s="453" t="s">
        <v>279</v>
      </c>
      <c r="G40" s="379">
        <f>TRUNC(VLOOKUP(F40,REAJUSTE!A:E,5,FALSE)*E40,2)</f>
        <v>121.09</v>
      </c>
      <c r="H40" s="439">
        <f>BDI!$F$30</f>
        <v>0.20730000000000001</v>
      </c>
      <c r="I40" s="440">
        <f t="shared" si="6"/>
        <v>146.19</v>
      </c>
      <c r="J40" s="441" t="e">
        <f t="shared" si="7"/>
        <v>#REF!</v>
      </c>
      <c r="K40" s="454" t="s">
        <v>441</v>
      </c>
      <c r="L40" s="463">
        <v>5216111</v>
      </c>
      <c r="M40" s="236"/>
      <c r="N40" s="236"/>
      <c r="R40" s="234"/>
      <c r="S40" s="234"/>
      <c r="T40" s="234"/>
      <c r="U40" s="234"/>
    </row>
    <row r="41" spans="1:21">
      <c r="A41" s="193" t="s">
        <v>454</v>
      </c>
      <c r="B41" s="192" t="s">
        <v>430</v>
      </c>
      <c r="C41" s="435" t="s">
        <v>13</v>
      </c>
      <c r="D41" s="464" t="e">
        <f>#REF!</f>
        <v>#REF!</v>
      </c>
      <c r="E41" s="452">
        <v>391.61</v>
      </c>
      <c r="F41" s="453" t="s">
        <v>279</v>
      </c>
      <c r="G41" s="379">
        <f>TRUNC(VLOOKUP(F41,REAJUSTE!A:E,5,FALSE)*E41,2)</f>
        <v>391.38</v>
      </c>
      <c r="H41" s="439">
        <f>BDI!$F$30</f>
        <v>0.20730000000000001</v>
      </c>
      <c r="I41" s="440">
        <f t="shared" si="6"/>
        <v>472.51</v>
      </c>
      <c r="J41" s="440" t="e">
        <f>TRUNC(D41*I41,2)</f>
        <v>#REF!</v>
      </c>
      <c r="K41" s="454" t="s">
        <v>441</v>
      </c>
      <c r="L41" s="463">
        <v>5113473</v>
      </c>
      <c r="M41" s="236"/>
      <c r="N41" s="236"/>
      <c r="R41" s="234"/>
      <c r="S41" s="234"/>
      <c r="T41" s="234"/>
      <c r="U41" s="234"/>
    </row>
    <row r="42" spans="1:21">
      <c r="A42" s="193" t="s">
        <v>455</v>
      </c>
      <c r="B42" s="192" t="s">
        <v>431</v>
      </c>
      <c r="C42" s="435" t="s">
        <v>13</v>
      </c>
      <c r="D42" s="464" t="e">
        <f>D41</f>
        <v>#REF!</v>
      </c>
      <c r="E42" s="452">
        <v>672.22</v>
      </c>
      <c r="F42" s="453" t="s">
        <v>279</v>
      </c>
      <c r="G42" s="379">
        <f>TRUNC(VLOOKUP(F42,REAJUSTE!A:E,5,FALSE)*E42,2)</f>
        <v>671.83</v>
      </c>
      <c r="H42" s="439">
        <f>BDI!$F$30</f>
        <v>0.20730000000000001</v>
      </c>
      <c r="I42" s="440">
        <f t="shared" si="6"/>
        <v>811.1</v>
      </c>
      <c r="J42" s="440" t="e">
        <f>TRUNC(D42*I42,2)</f>
        <v>#REF!</v>
      </c>
      <c r="K42" s="454" t="s">
        <v>441</v>
      </c>
      <c r="L42" s="463">
        <v>5113867</v>
      </c>
      <c r="M42" s="236"/>
      <c r="N42" s="236"/>
      <c r="R42" s="234"/>
      <c r="S42" s="234"/>
      <c r="T42" s="234"/>
      <c r="U42" s="234"/>
    </row>
    <row r="43" spans="1:21">
      <c r="A43" s="535" t="s">
        <v>24</v>
      </c>
      <c r="B43" s="535"/>
      <c r="C43" s="535"/>
      <c r="D43" s="535"/>
      <c r="E43" s="535"/>
      <c r="F43" s="535"/>
      <c r="G43" s="535"/>
      <c r="H43" s="535"/>
      <c r="I43" s="535"/>
      <c r="J43" s="425" t="e">
        <f>J9+J12+J17+J27+J32</f>
        <v>#REF!</v>
      </c>
      <c r="K43" s="526"/>
      <c r="L43" s="526"/>
      <c r="M43" s="236"/>
      <c r="N43" s="236"/>
      <c r="R43" s="234"/>
      <c r="S43" s="234"/>
      <c r="T43" s="234"/>
      <c r="U43" s="234"/>
    </row>
    <row r="44" spans="1:21">
      <c r="A44" s="221"/>
      <c r="B44" s="221" t="s">
        <v>405</v>
      </c>
      <c r="C44" s="221"/>
      <c r="D44" s="221"/>
      <c r="E44" s="221"/>
      <c r="F44" s="222"/>
      <c r="G44" s="221"/>
      <c r="H44" s="221"/>
      <c r="I44" s="221"/>
      <c r="J44" s="221"/>
      <c r="K44" s="222"/>
      <c r="L44" s="222"/>
      <c r="M44" s="236"/>
      <c r="N44" s="236"/>
    </row>
    <row r="45" spans="1:21">
      <c r="A45" s="221"/>
      <c r="B45" s="221" t="s">
        <v>406</v>
      </c>
      <c r="C45" s="221"/>
      <c r="D45" s="221"/>
      <c r="E45" s="221"/>
      <c r="F45" s="222"/>
      <c r="G45" s="221"/>
      <c r="H45" s="221"/>
      <c r="I45" s="221"/>
      <c r="J45" s="221"/>
      <c r="K45" s="222"/>
      <c r="L45" s="222"/>
      <c r="M45" s="236"/>
      <c r="N45" s="236"/>
    </row>
    <row r="46" spans="1:21">
      <c r="A46" s="221"/>
      <c r="B46" s="225" t="s">
        <v>450</v>
      </c>
      <c r="C46" s="221"/>
      <c r="D46" s="221"/>
      <c r="E46" s="221"/>
      <c r="F46" s="222"/>
      <c r="G46" s="221"/>
      <c r="H46" s="221"/>
      <c r="I46" s="427" t="s">
        <v>24</v>
      </c>
      <c r="J46" s="425" t="e">
        <f>J43</f>
        <v>#REF!</v>
      </c>
      <c r="K46" s="222"/>
      <c r="L46" s="222"/>
      <c r="M46" s="236"/>
      <c r="N46" s="236"/>
    </row>
    <row r="47" spans="1:21">
      <c r="A47" s="221"/>
      <c r="B47" s="221"/>
      <c r="C47" s="221"/>
      <c r="D47" s="221"/>
      <c r="E47" s="221"/>
      <c r="F47" s="222"/>
      <c r="G47" s="221"/>
      <c r="H47" s="221"/>
      <c r="I47" s="221"/>
      <c r="J47" s="221"/>
      <c r="K47" s="222"/>
      <c r="L47" s="222"/>
      <c r="M47" s="236"/>
      <c r="N47" s="236"/>
    </row>
    <row r="49" spans="1:21">
      <c r="J49" s="83" t="e">
        <f>J46-J25</f>
        <v>#REF!</v>
      </c>
    </row>
    <row r="50" spans="1:21" s="235" customFormat="1">
      <c r="A50" s="233"/>
      <c r="B50" s="233"/>
      <c r="C50" s="233"/>
      <c r="D50" s="233"/>
      <c r="E50" s="233"/>
      <c r="F50" s="432"/>
      <c r="G50" s="233"/>
      <c r="H50" s="233"/>
      <c r="I50" s="83"/>
      <c r="J50" s="233"/>
      <c r="K50" s="28"/>
      <c r="L50" s="29"/>
      <c r="M50" s="80"/>
      <c r="N50" s="80"/>
      <c r="P50" s="233"/>
      <c r="Q50" s="233"/>
      <c r="R50" s="233"/>
      <c r="S50" s="233"/>
      <c r="T50" s="233"/>
      <c r="U50" s="233"/>
    </row>
    <row r="51" spans="1:21" s="235" customFormat="1">
      <c r="A51" s="233"/>
      <c r="B51" s="233"/>
      <c r="C51" s="233"/>
      <c r="D51" s="233"/>
      <c r="E51" s="233"/>
      <c r="F51" s="432"/>
      <c r="G51" s="233"/>
      <c r="H51" s="233"/>
      <c r="I51" s="233"/>
      <c r="J51" s="104"/>
      <c r="K51" s="30"/>
      <c r="L51" s="432"/>
      <c r="M51" s="81"/>
      <c r="N51" s="81"/>
      <c r="P51" s="233"/>
      <c r="Q51" s="233"/>
      <c r="R51" s="233"/>
      <c r="S51" s="233"/>
      <c r="T51" s="233"/>
      <c r="U51" s="233"/>
    </row>
  </sheetData>
  <sheetProtection password="E491" sheet="1" objects="1" scenarios="1"/>
  <mergeCells count="32">
    <mergeCell ref="A1:M1"/>
    <mergeCell ref="B32:I32"/>
    <mergeCell ref="K32:L32"/>
    <mergeCell ref="A43:I43"/>
    <mergeCell ref="K43:L43"/>
    <mergeCell ref="C2:L2"/>
    <mergeCell ref="B17:I17"/>
    <mergeCell ref="K17:L17"/>
    <mergeCell ref="B27:I27"/>
    <mergeCell ref="K27:L27"/>
    <mergeCell ref="K29:L29"/>
    <mergeCell ref="K31:L31"/>
    <mergeCell ref="K6:K7"/>
    <mergeCell ref="L6:L7"/>
    <mergeCell ref="B9:I9"/>
    <mergeCell ref="K9:L9"/>
    <mergeCell ref="B12:I12"/>
    <mergeCell ref="K12:L12"/>
    <mergeCell ref="D5:G5"/>
    <mergeCell ref="A6:A7"/>
    <mergeCell ref="B6:B7"/>
    <mergeCell ref="C6:C7"/>
    <mergeCell ref="D6:D7"/>
    <mergeCell ref="E6:E7"/>
    <mergeCell ref="F6:F7"/>
    <mergeCell ref="G6:J6"/>
    <mergeCell ref="A2:A4"/>
    <mergeCell ref="C3:G3"/>
    <mergeCell ref="H3:I3"/>
    <mergeCell ref="J3:L3"/>
    <mergeCell ref="B4:I4"/>
    <mergeCell ref="J4:L4"/>
  </mergeCells>
  <printOptions horizontalCentered="1"/>
  <pageMargins left="0.51181102362204722" right="0.51181102362204722" top="0.59055118110236227" bottom="0.39370078740157483" header="0.31496062992125984" footer="0.19685039370078741"/>
  <pageSetup paperSize="9" scale="55" orientation="landscape" r:id="rId1"/>
  <headerFooter>
    <oddFooter>&amp;CEng° Darcio Pagani Vieira
Crea/SC - 077.222-9</oddFooter>
  </headerFooter>
  <ignoredErrors>
    <ignoredError sqref="D37 D30 D21" 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showGridLines="0" view="pageBreakPreview" zoomScale="70" zoomScaleNormal="85" zoomScaleSheetLayoutView="70" workbookViewId="0">
      <pane ySplit="3" topLeftCell="A25" activePane="bottomLeft" state="frozen"/>
      <selection activeCell="F9" sqref="F9"/>
      <selection pane="bottomLeft" activeCell="F9" sqref="F9"/>
    </sheetView>
  </sheetViews>
  <sheetFormatPr defaultColWidth="9.140625" defaultRowHeight="12.75"/>
  <cols>
    <col min="1" max="1" width="17.28515625" style="496" bestFit="1" customWidth="1"/>
    <col min="2" max="2" width="65.5703125" style="496" customWidth="1"/>
    <col min="3" max="3" width="9.140625" style="496" bestFit="1" customWidth="1"/>
    <col min="4" max="4" width="26.28515625" style="496" customWidth="1"/>
    <col min="5" max="5" width="17.28515625" style="496" bestFit="1" customWidth="1"/>
    <col min="6" max="6" width="18.140625" style="509" bestFit="1" customWidth="1"/>
    <col min="7" max="7" width="16.42578125" style="496" bestFit="1" customWidth="1"/>
    <col min="8" max="8" width="9.140625" style="496"/>
    <col min="9" max="9" width="16.85546875" style="496" customWidth="1"/>
    <col min="10" max="16384" width="9.140625" style="496"/>
  </cols>
  <sheetData>
    <row r="1" spans="1:9" s="494" customFormat="1" ht="33.75" customHeight="1">
      <c r="A1" s="722"/>
      <c r="B1" s="721" t="s">
        <v>298</v>
      </c>
      <c r="C1" s="721"/>
      <c r="D1" s="721"/>
      <c r="E1" s="721"/>
      <c r="F1" s="721"/>
      <c r="G1" s="721"/>
      <c r="I1" s="494">
        <v>0.86</v>
      </c>
    </row>
    <row r="2" spans="1:9" ht="15.75">
      <c r="A2" s="722"/>
      <c r="B2" s="495" t="str">
        <f>TRILHA!G2</f>
        <v>PREFEITURA MUNICIPAL DE MARACAJÁ</v>
      </c>
      <c r="C2" s="726" t="str">
        <f>TRILHA!I2</f>
        <v>BAIRRO: GARAJUVA</v>
      </c>
      <c r="D2" s="726"/>
      <c r="E2" s="728" t="str">
        <f>TRILHA!M2</f>
        <v>ESTADO: SANTA CATARINA</v>
      </c>
      <c r="F2" s="728"/>
      <c r="G2" s="729" t="str">
        <f ca="1">TRILHA!M3</f>
        <v>DATA: 07/08/24</v>
      </c>
    </row>
    <row r="3" spans="1:9" ht="15.75">
      <c r="A3" s="722"/>
      <c r="B3" s="495" t="str">
        <f>TRILHA!G3</f>
        <v>TRILHA SUSPENSA - PARQUE ECOLÓGICO</v>
      </c>
      <c r="C3" s="727" t="str">
        <f>TRILHA!K2</f>
        <v>MUNICIPIO: MARACAJÁ</v>
      </c>
      <c r="D3" s="727"/>
      <c r="E3" s="728"/>
      <c r="F3" s="728"/>
      <c r="G3" s="730"/>
    </row>
    <row r="4" spans="1:9" s="497" customFormat="1" ht="15.75">
      <c r="A4" s="276"/>
      <c r="B4" s="277"/>
      <c r="C4" s="277"/>
      <c r="D4" s="277"/>
      <c r="E4" s="277"/>
      <c r="F4" s="479"/>
      <c r="G4" s="278"/>
    </row>
    <row r="5" spans="1:9" ht="15.75">
      <c r="A5" s="498" t="s">
        <v>388</v>
      </c>
      <c r="B5" s="723" t="str">
        <f>ORÇAMENTO!B13</f>
        <v>VIGA DE MADEIRA SERRADA, PINUS TRATADO, SEÇÃO RETANGULAR 4 X 15 X 400 CM. ITEM 01 DO PROJETO</v>
      </c>
      <c r="C5" s="724"/>
      <c r="D5" s="724"/>
      <c r="E5" s="724"/>
      <c r="F5" s="724"/>
      <c r="G5" s="725"/>
    </row>
    <row r="6" spans="1:9" ht="15.75">
      <c r="A6" s="499" t="s">
        <v>269</v>
      </c>
      <c r="B6" s="499" t="s">
        <v>299</v>
      </c>
      <c r="C6" s="499" t="s">
        <v>300</v>
      </c>
      <c r="D6" s="499" t="s">
        <v>301</v>
      </c>
      <c r="E6" s="499" t="s">
        <v>302</v>
      </c>
      <c r="F6" s="500" t="s">
        <v>303</v>
      </c>
      <c r="G6" s="499" t="s">
        <v>304</v>
      </c>
    </row>
    <row r="7" spans="1:9" ht="31.5">
      <c r="A7" s="279" t="s">
        <v>468</v>
      </c>
      <c r="B7" s="279" t="s">
        <v>509</v>
      </c>
      <c r="C7" s="279" t="s">
        <v>469</v>
      </c>
      <c r="D7" s="279" t="s">
        <v>521</v>
      </c>
      <c r="E7" s="279" t="s">
        <v>494</v>
      </c>
      <c r="F7" s="480">
        <v>17.170000000000002</v>
      </c>
      <c r="G7" s="281">
        <f t="shared" ref="G7:G10" si="0">TRUNC(E7*F7,2)</f>
        <v>1.18</v>
      </c>
    </row>
    <row r="8" spans="1:9" ht="33">
      <c r="A8" s="501" t="s">
        <v>487</v>
      </c>
      <c r="B8" s="501" t="s">
        <v>491</v>
      </c>
      <c r="C8" s="501" t="s">
        <v>467</v>
      </c>
      <c r="D8" s="501" t="s">
        <v>484</v>
      </c>
      <c r="E8" s="501">
        <f>1.09159*(1-20.73%)</f>
        <v>0.86530339300000003</v>
      </c>
      <c r="F8" s="502">
        <f>COTAÇÃO!F11</f>
        <v>10</v>
      </c>
      <c r="G8" s="503">
        <f t="shared" si="0"/>
        <v>8.65</v>
      </c>
    </row>
    <row r="9" spans="1:9" ht="31.5">
      <c r="A9" s="279" t="s">
        <v>470</v>
      </c>
      <c r="B9" s="279" t="s">
        <v>471</v>
      </c>
      <c r="C9" s="279" t="s">
        <v>305</v>
      </c>
      <c r="D9" s="279" t="s">
        <v>521</v>
      </c>
      <c r="E9" s="279">
        <f>I9*$I$1</f>
        <v>0.2625924</v>
      </c>
      <c r="F9" s="480" t="s">
        <v>473</v>
      </c>
      <c r="G9" s="281">
        <f t="shared" si="0"/>
        <v>6.43</v>
      </c>
      <c r="I9" s="279" t="s">
        <v>488</v>
      </c>
    </row>
    <row r="10" spans="1:9" ht="31.5">
      <c r="A10" s="279" t="s">
        <v>474</v>
      </c>
      <c r="B10" s="279" t="s">
        <v>475</v>
      </c>
      <c r="C10" s="279" t="s">
        <v>305</v>
      </c>
      <c r="D10" s="279" t="s">
        <v>306</v>
      </c>
      <c r="E10" s="279">
        <f>I10*$I$1</f>
        <v>0.36763280000000004</v>
      </c>
      <c r="F10" s="480" t="s">
        <v>477</v>
      </c>
      <c r="G10" s="281">
        <f t="shared" si="0"/>
        <v>11.48</v>
      </c>
      <c r="I10" s="279" t="s">
        <v>489</v>
      </c>
    </row>
    <row r="11" spans="1:9" ht="15.75">
      <c r="A11" s="504"/>
      <c r="B11" s="505"/>
      <c r="C11" s="505"/>
      <c r="D11" s="505"/>
      <c r="E11" s="505"/>
      <c r="F11" s="506"/>
      <c r="G11" s="418">
        <f>TRUNC(SUM(G7:G10),2)</f>
        <v>27.74</v>
      </c>
    </row>
    <row r="13" spans="1:9" ht="15.75">
      <c r="A13" s="498" t="s">
        <v>481</v>
      </c>
      <c r="B13" s="723" t="str">
        <f>ORÇAMENTO!B14</f>
        <v>VIGA DE MADEIRA SERRADA, PINUS TRATADO, SEÇÃO RETANGULAR 6 X 12 X 400 CM. ITEM 02 DO PROJETO</v>
      </c>
      <c r="C13" s="724"/>
      <c r="D13" s="724"/>
      <c r="E13" s="724"/>
      <c r="F13" s="724"/>
      <c r="G13" s="725"/>
    </row>
    <row r="14" spans="1:9" ht="15.75">
      <c r="A14" s="499" t="s">
        <v>269</v>
      </c>
      <c r="B14" s="499" t="s">
        <v>299</v>
      </c>
      <c r="C14" s="499" t="s">
        <v>300</v>
      </c>
      <c r="D14" s="499" t="s">
        <v>301</v>
      </c>
      <c r="E14" s="499" t="s">
        <v>302</v>
      </c>
      <c r="F14" s="500" t="s">
        <v>303</v>
      </c>
      <c r="G14" s="499" t="s">
        <v>304</v>
      </c>
    </row>
    <row r="15" spans="1:9" ht="31.5">
      <c r="A15" s="279" t="s">
        <v>468</v>
      </c>
      <c r="B15" s="279" t="s">
        <v>509</v>
      </c>
      <c r="C15" s="279" t="s">
        <v>469</v>
      </c>
      <c r="D15" s="279" t="s">
        <v>521</v>
      </c>
      <c r="E15" s="279" t="s">
        <v>494</v>
      </c>
      <c r="F15" s="480">
        <v>17.170000000000002</v>
      </c>
      <c r="G15" s="281">
        <f t="shared" ref="G15:G18" si="1">TRUNC(E15*F15,2)</f>
        <v>1.18</v>
      </c>
    </row>
    <row r="16" spans="1:9" ht="33">
      <c r="A16" s="501" t="s">
        <v>487</v>
      </c>
      <c r="B16" s="501" t="s">
        <v>490</v>
      </c>
      <c r="C16" s="501" t="s">
        <v>467</v>
      </c>
      <c r="D16" s="501" t="s">
        <v>484</v>
      </c>
      <c r="E16" s="501">
        <f>1.09159*(1-20.73%)</f>
        <v>0.86530339300000003</v>
      </c>
      <c r="F16" s="502">
        <f>COTAÇÃO!F19</f>
        <v>14</v>
      </c>
      <c r="G16" s="503">
        <f t="shared" ref="G16" si="2">TRUNC(E16*F16,2)</f>
        <v>12.11</v>
      </c>
    </row>
    <row r="17" spans="1:10" ht="31.5">
      <c r="A17" s="279" t="s">
        <v>470</v>
      </c>
      <c r="B17" s="279" t="s">
        <v>471</v>
      </c>
      <c r="C17" s="279" t="s">
        <v>305</v>
      </c>
      <c r="D17" s="279" t="s">
        <v>521</v>
      </c>
      <c r="E17" s="279">
        <f t="shared" ref="E17:E18" si="3">I17*$I$1</f>
        <v>0.2625924</v>
      </c>
      <c r="F17" s="480" t="s">
        <v>473</v>
      </c>
      <c r="G17" s="281">
        <f t="shared" si="1"/>
        <v>6.43</v>
      </c>
      <c r="I17" s="279" t="s">
        <v>488</v>
      </c>
    </row>
    <row r="18" spans="1:10" ht="31.5">
      <c r="A18" s="279" t="s">
        <v>474</v>
      </c>
      <c r="B18" s="279" t="s">
        <v>475</v>
      </c>
      <c r="C18" s="279" t="s">
        <v>305</v>
      </c>
      <c r="D18" s="279" t="s">
        <v>306</v>
      </c>
      <c r="E18" s="279">
        <f t="shared" si="3"/>
        <v>0.36763280000000004</v>
      </c>
      <c r="F18" s="480" t="s">
        <v>477</v>
      </c>
      <c r="G18" s="281">
        <f t="shared" si="1"/>
        <v>11.48</v>
      </c>
      <c r="I18" s="279" t="s">
        <v>489</v>
      </c>
    </row>
    <row r="19" spans="1:10" ht="15.75">
      <c r="A19" s="504"/>
      <c r="B19" s="505"/>
      <c r="C19" s="505"/>
      <c r="D19" s="505"/>
      <c r="E19" s="505"/>
      <c r="F19" s="506"/>
      <c r="G19" s="418">
        <f>TRUNC(SUM(G15:G18),2)</f>
        <v>31.2</v>
      </c>
    </row>
    <row r="21" spans="1:10" ht="15.75">
      <c r="A21" s="498" t="s">
        <v>482</v>
      </c>
      <c r="B21" s="723" t="str">
        <f>ORÇAMENTO!B15</f>
        <v>PILAR DE MADEIRA ROLIÇA, EUCALIPTO TRATADO, DIÂMETRO DE 14 CM, ALTURA DE 3 M. ITEM 03 DO PROJETO</v>
      </c>
      <c r="C21" s="724"/>
      <c r="D21" s="724"/>
      <c r="E21" s="724"/>
      <c r="F21" s="724"/>
      <c r="G21" s="725"/>
      <c r="I21" s="497"/>
      <c r="J21" s="497"/>
    </row>
    <row r="22" spans="1:10" ht="15.75">
      <c r="A22" s="499" t="s">
        <v>269</v>
      </c>
      <c r="B22" s="499" t="s">
        <v>299</v>
      </c>
      <c r="C22" s="499" t="s">
        <v>300</v>
      </c>
      <c r="D22" s="499" t="s">
        <v>301</v>
      </c>
      <c r="E22" s="499" t="s">
        <v>302</v>
      </c>
      <c r="F22" s="500" t="s">
        <v>303</v>
      </c>
      <c r="G22" s="499" t="s">
        <v>304</v>
      </c>
      <c r="I22" s="497"/>
      <c r="J22" s="497"/>
    </row>
    <row r="23" spans="1:10" ht="33">
      <c r="A23" s="501" t="s">
        <v>466</v>
      </c>
      <c r="B23" s="501" t="s">
        <v>483</v>
      </c>
      <c r="C23" s="501" t="s">
        <v>467</v>
      </c>
      <c r="D23" s="501" t="s">
        <v>484</v>
      </c>
      <c r="E23" s="501">
        <f>1.09159*(1-20.73%)</f>
        <v>0.86530339300000003</v>
      </c>
      <c r="F23" s="502">
        <f>COTAÇÃO!F27</f>
        <v>10</v>
      </c>
      <c r="G23" s="503">
        <f>TRUNC(E23*F23,2)</f>
        <v>8.65</v>
      </c>
      <c r="I23" s="497"/>
      <c r="J23" s="497"/>
    </row>
    <row r="24" spans="1:10" ht="31.5">
      <c r="A24" s="279" t="s">
        <v>470</v>
      </c>
      <c r="B24" s="279" t="s">
        <v>471</v>
      </c>
      <c r="C24" s="279" t="s">
        <v>305</v>
      </c>
      <c r="D24" s="279" t="s">
        <v>521</v>
      </c>
      <c r="E24" s="279">
        <f t="shared" ref="E24:E25" si="4">I24*$I$1</f>
        <v>0.32243119999999997</v>
      </c>
      <c r="F24" s="480" t="s">
        <v>473</v>
      </c>
      <c r="G24" s="281">
        <f t="shared" ref="G24:G25" si="5">TRUNC(E24*F24,2)</f>
        <v>7.89</v>
      </c>
      <c r="I24" s="279" t="s">
        <v>472</v>
      </c>
      <c r="J24" s="497"/>
    </row>
    <row r="25" spans="1:10" ht="31.5">
      <c r="A25" s="279" t="s">
        <v>474</v>
      </c>
      <c r="B25" s="279" t="s">
        <v>475</v>
      </c>
      <c r="C25" s="279" t="s">
        <v>305</v>
      </c>
      <c r="D25" s="279" t="s">
        <v>306</v>
      </c>
      <c r="E25" s="279">
        <f t="shared" si="4"/>
        <v>0.45140539999999996</v>
      </c>
      <c r="F25" s="480" t="s">
        <v>477</v>
      </c>
      <c r="G25" s="281">
        <f t="shared" si="5"/>
        <v>14.1</v>
      </c>
      <c r="I25" s="279" t="s">
        <v>476</v>
      </c>
      <c r="J25" s="497"/>
    </row>
    <row r="26" spans="1:10" ht="15.75">
      <c r="A26" s="504"/>
      <c r="B26" s="505"/>
      <c r="C26" s="505"/>
      <c r="D26" s="505"/>
      <c r="E26" s="505"/>
      <c r="F26" s="506"/>
      <c r="G26" s="418">
        <f>TRUNC(SUM(G23:G25),2)</f>
        <v>30.64</v>
      </c>
    </row>
    <row r="28" spans="1:10" ht="15.75">
      <c r="A28" s="498" t="s">
        <v>499</v>
      </c>
      <c r="B28" s="723" t="str">
        <f>ORÇAMENTO!B16</f>
        <v>VIGA DE MADEIRA SERRADA, PINUS TRATADO, SEÇÃO RETANGULAR 6 X 6 X 115 CM. ITEM 04 DO PROJETO</v>
      </c>
      <c r="C28" s="724"/>
      <c r="D28" s="724"/>
      <c r="E28" s="724"/>
      <c r="F28" s="724"/>
      <c r="G28" s="725"/>
    </row>
    <row r="29" spans="1:10" ht="15.75">
      <c r="A29" s="499" t="s">
        <v>269</v>
      </c>
      <c r="B29" s="499" t="s">
        <v>299</v>
      </c>
      <c r="C29" s="499" t="s">
        <v>300</v>
      </c>
      <c r="D29" s="499" t="s">
        <v>301</v>
      </c>
      <c r="E29" s="499" t="s">
        <v>302</v>
      </c>
      <c r="F29" s="500" t="s">
        <v>303</v>
      </c>
      <c r="G29" s="499" t="s">
        <v>304</v>
      </c>
    </row>
    <row r="30" spans="1:10" ht="31.5">
      <c r="A30" s="279" t="s">
        <v>468</v>
      </c>
      <c r="B30" s="279" t="s">
        <v>509</v>
      </c>
      <c r="C30" s="279" t="s">
        <v>469</v>
      </c>
      <c r="D30" s="279" t="s">
        <v>521</v>
      </c>
      <c r="E30" s="279" t="s">
        <v>494</v>
      </c>
      <c r="F30" s="480">
        <v>17.170000000000002</v>
      </c>
      <c r="G30" s="281">
        <f t="shared" ref="G30:G33" si="6">TRUNC(E30*F30,2)</f>
        <v>1.18</v>
      </c>
    </row>
    <row r="31" spans="1:10" ht="33">
      <c r="A31" s="501" t="s">
        <v>487</v>
      </c>
      <c r="B31" s="501" t="s">
        <v>498</v>
      </c>
      <c r="C31" s="501" t="s">
        <v>467</v>
      </c>
      <c r="D31" s="501" t="s">
        <v>484</v>
      </c>
      <c r="E31" s="501">
        <f>1.09159*(1-20.73%)</f>
        <v>0.86530339300000003</v>
      </c>
      <c r="F31" s="502">
        <f>COTAÇÃO!F35</f>
        <v>7</v>
      </c>
      <c r="G31" s="503">
        <f t="shared" si="6"/>
        <v>6.05</v>
      </c>
    </row>
    <row r="32" spans="1:10" ht="31.5">
      <c r="A32" s="279" t="s">
        <v>470</v>
      </c>
      <c r="B32" s="279" t="s">
        <v>471</v>
      </c>
      <c r="C32" s="279" t="s">
        <v>305</v>
      </c>
      <c r="D32" s="279" t="s">
        <v>521</v>
      </c>
      <c r="E32" s="279">
        <f t="shared" ref="E32:E33" si="7">I32*$I$1</f>
        <v>0.2625924</v>
      </c>
      <c r="F32" s="481" t="s">
        <v>473</v>
      </c>
      <c r="G32" s="281">
        <f t="shared" si="6"/>
        <v>6.43</v>
      </c>
      <c r="I32" s="279" t="s">
        <v>488</v>
      </c>
    </row>
    <row r="33" spans="1:9" ht="31.5">
      <c r="A33" s="279" t="s">
        <v>474</v>
      </c>
      <c r="B33" s="279" t="s">
        <v>475</v>
      </c>
      <c r="C33" s="279" t="s">
        <v>305</v>
      </c>
      <c r="D33" s="279" t="s">
        <v>306</v>
      </c>
      <c r="E33" s="279">
        <f t="shared" si="7"/>
        <v>0.36763280000000004</v>
      </c>
      <c r="F33" s="481" t="s">
        <v>477</v>
      </c>
      <c r="G33" s="281">
        <f t="shared" si="6"/>
        <v>11.48</v>
      </c>
      <c r="I33" s="279" t="s">
        <v>489</v>
      </c>
    </row>
    <row r="34" spans="1:9" ht="15.75">
      <c r="A34" s="504"/>
      <c r="B34" s="505"/>
      <c r="C34" s="505"/>
      <c r="D34" s="505"/>
      <c r="E34" s="505"/>
      <c r="F34" s="506"/>
      <c r="G34" s="418">
        <f>TRUNC(SUM(G30:G33),2)</f>
        <v>25.14</v>
      </c>
    </row>
    <row r="36" spans="1:9" ht="15.75">
      <c r="A36" s="498" t="s">
        <v>307</v>
      </c>
      <c r="B36" s="723" t="str">
        <f>ORÇAMENTO!B17</f>
        <v>PISO DE MADEIRA (PINUS TRATADO), SOBRE VIGOTAS DE MADEIRA SEÇÃO 10 X 3,5 X 134 CM. ITEM 05 DO PROJETO</v>
      </c>
      <c r="C36" s="724"/>
      <c r="D36" s="724"/>
      <c r="E36" s="724"/>
      <c r="F36" s="724"/>
      <c r="G36" s="725"/>
    </row>
    <row r="37" spans="1:9" ht="15.75">
      <c r="A37" s="499" t="s">
        <v>269</v>
      </c>
      <c r="B37" s="499" t="s">
        <v>299</v>
      </c>
      <c r="C37" s="499" t="s">
        <v>300</v>
      </c>
      <c r="D37" s="499" t="s">
        <v>301</v>
      </c>
      <c r="E37" s="499" t="s">
        <v>302</v>
      </c>
      <c r="F37" s="500" t="s">
        <v>303</v>
      </c>
      <c r="G37" s="499" t="s">
        <v>304</v>
      </c>
    </row>
    <row r="38" spans="1:9" ht="33">
      <c r="A38" s="501" t="s">
        <v>492</v>
      </c>
      <c r="B38" s="501" t="s">
        <v>497</v>
      </c>
      <c r="C38" s="501" t="s">
        <v>493</v>
      </c>
      <c r="D38" s="501" t="s">
        <v>484</v>
      </c>
      <c r="E38" s="501">
        <f>1.0162*(1-20.73%)</f>
        <v>0.80554174000000001</v>
      </c>
      <c r="F38" s="502">
        <f>COTAÇÃO!F43</f>
        <v>65</v>
      </c>
      <c r="G38" s="503">
        <f t="shared" ref="G38" si="8">TRUNC(E38*F38,2)</f>
        <v>52.36</v>
      </c>
    </row>
    <row r="39" spans="1:9" ht="31.5">
      <c r="A39" s="279" t="s">
        <v>468</v>
      </c>
      <c r="B39" s="279" t="s">
        <v>509</v>
      </c>
      <c r="C39" s="279" t="s">
        <v>469</v>
      </c>
      <c r="D39" s="279" t="s">
        <v>521</v>
      </c>
      <c r="E39" s="279" t="s">
        <v>494</v>
      </c>
      <c r="F39" s="480">
        <v>17.170000000000002</v>
      </c>
      <c r="G39" s="281">
        <f t="shared" ref="G39:G41" si="9">TRUNC(E39*F39,2)</f>
        <v>1.18</v>
      </c>
    </row>
    <row r="40" spans="1:9" ht="31.5">
      <c r="A40" s="279" t="s">
        <v>470</v>
      </c>
      <c r="B40" s="279" t="s">
        <v>471</v>
      </c>
      <c r="C40" s="279" t="s">
        <v>305</v>
      </c>
      <c r="D40" s="279" t="s">
        <v>521</v>
      </c>
      <c r="E40" s="279">
        <f t="shared" ref="E40:E41" si="10">I40*$I$1</f>
        <v>0.3872408</v>
      </c>
      <c r="F40" s="480" t="s">
        <v>473</v>
      </c>
      <c r="G40" s="281">
        <f t="shared" ref="G40" si="11">TRUNC(E40*F40,2)</f>
        <v>9.48</v>
      </c>
      <c r="I40" s="279" t="s">
        <v>495</v>
      </c>
    </row>
    <row r="41" spans="1:9" ht="31.5">
      <c r="A41" s="279" t="s">
        <v>474</v>
      </c>
      <c r="B41" s="279" t="s">
        <v>475</v>
      </c>
      <c r="C41" s="279" t="s">
        <v>305</v>
      </c>
      <c r="D41" s="279" t="s">
        <v>306</v>
      </c>
      <c r="E41" s="279">
        <f t="shared" si="10"/>
        <v>0.54214658000000004</v>
      </c>
      <c r="F41" s="480" t="s">
        <v>477</v>
      </c>
      <c r="G41" s="281">
        <f t="shared" si="9"/>
        <v>16.93</v>
      </c>
      <c r="I41" s="279" t="s">
        <v>496</v>
      </c>
    </row>
    <row r="42" spans="1:9" ht="15.75">
      <c r="A42" s="504"/>
      <c r="B42" s="505"/>
      <c r="C42" s="505"/>
      <c r="D42" s="505"/>
      <c r="E42" s="505"/>
      <c r="F42" s="506"/>
      <c r="G42" s="418">
        <f>SUM(G38:G41)</f>
        <v>79.949999999999989</v>
      </c>
    </row>
    <row r="44" spans="1:9" ht="15.75">
      <c r="A44" s="498" t="s">
        <v>309</v>
      </c>
      <c r="B44" s="723" t="str">
        <f>ORÇAMENTO!B18</f>
        <v>VIGA DE MADEIRA ROLIÇA EM EUCALIPTO TRATADO (APLAINADA PARA ASSENTAMENTO DE DECK), DIÂMETRO DE 12 CM, COMPRIMENTO DE 4 M. ITEM 06 DO PROJETO</v>
      </c>
      <c r="C44" s="724"/>
      <c r="D44" s="724"/>
      <c r="E44" s="724"/>
      <c r="F44" s="724"/>
      <c r="G44" s="725"/>
    </row>
    <row r="45" spans="1:9" ht="15.75">
      <c r="A45" s="499" t="s">
        <v>269</v>
      </c>
      <c r="B45" s="499" t="s">
        <v>299</v>
      </c>
      <c r="C45" s="499" t="s">
        <v>300</v>
      </c>
      <c r="D45" s="499" t="s">
        <v>301</v>
      </c>
      <c r="E45" s="499" t="s">
        <v>302</v>
      </c>
      <c r="F45" s="500" t="s">
        <v>303</v>
      </c>
      <c r="G45" s="499" t="s">
        <v>304</v>
      </c>
    </row>
    <row r="46" spans="1:9" ht="33">
      <c r="A46" s="501" t="s">
        <v>466</v>
      </c>
      <c r="B46" s="501" t="s">
        <v>485</v>
      </c>
      <c r="C46" s="501" t="s">
        <v>467</v>
      </c>
      <c r="D46" s="501" t="s">
        <v>484</v>
      </c>
      <c r="E46" s="501">
        <f>1.09159*(1-20.73%)</f>
        <v>0.86530339300000003</v>
      </c>
      <c r="F46" s="502">
        <f>COTAÇÃO!F51</f>
        <v>10</v>
      </c>
      <c r="G46" s="507">
        <f t="shared" ref="G46:G51" si="12">TRUNC(E46*F46,2)</f>
        <v>8.65</v>
      </c>
    </row>
    <row r="47" spans="1:9" ht="18.75">
      <c r="A47" s="501" t="s">
        <v>49</v>
      </c>
      <c r="B47" s="501" t="s">
        <v>518</v>
      </c>
      <c r="C47" s="501" t="s">
        <v>467</v>
      </c>
      <c r="D47" s="501" t="s">
        <v>484</v>
      </c>
      <c r="E47" s="501">
        <f>((0.12+0.14+0.04*2)/3*2/2)*(1-20.73%)</f>
        <v>8.983933333333334E-2</v>
      </c>
      <c r="F47" s="508">
        <f>COTAÇÃO!F66</f>
        <v>12</v>
      </c>
      <c r="G47" s="507">
        <f t="shared" si="12"/>
        <v>1.07</v>
      </c>
    </row>
    <row r="48" spans="1:9" ht="33">
      <c r="A48" s="501" t="s">
        <v>49</v>
      </c>
      <c r="B48" s="501" t="s">
        <v>516</v>
      </c>
      <c r="C48" s="501" t="s">
        <v>478</v>
      </c>
      <c r="D48" s="501" t="s">
        <v>484</v>
      </c>
      <c r="E48" s="501">
        <f>(2*2/2)*(1-20.73%)</f>
        <v>1.5853999999999999</v>
      </c>
      <c r="F48" s="508">
        <f>COTAÇÃO!F73</f>
        <v>0.24</v>
      </c>
      <c r="G48" s="507">
        <f t="shared" ref="G48" si="13">TRUNC(E48*F48,2)</f>
        <v>0.38</v>
      </c>
    </row>
    <row r="49" spans="1:9" ht="33">
      <c r="A49" s="501" t="s">
        <v>49</v>
      </c>
      <c r="B49" s="501" t="s">
        <v>517</v>
      </c>
      <c r="C49" s="501" t="s">
        <v>478</v>
      </c>
      <c r="D49" s="501" t="s">
        <v>484</v>
      </c>
      <c r="E49" s="501">
        <f>(2*2/2)*(1-20.73%)</f>
        <v>1.5853999999999999</v>
      </c>
      <c r="F49" s="508">
        <f>COTAÇÃO!F80</f>
        <v>0.24</v>
      </c>
      <c r="G49" s="507">
        <f t="shared" ref="G49" si="14">TRUNC(E49*F49,2)</f>
        <v>0.38</v>
      </c>
    </row>
    <row r="50" spans="1:9" ht="31.5">
      <c r="A50" s="279" t="s">
        <v>470</v>
      </c>
      <c r="B50" s="279" t="s">
        <v>471</v>
      </c>
      <c r="C50" s="279" t="s">
        <v>305</v>
      </c>
      <c r="D50" s="279" t="s">
        <v>521</v>
      </c>
      <c r="E50" s="279">
        <f t="shared" ref="E50:E51" si="15">I50*$I$1</f>
        <v>0.44411173999999998</v>
      </c>
      <c r="F50" s="480" t="s">
        <v>473</v>
      </c>
      <c r="G50" s="280">
        <f t="shared" si="12"/>
        <v>10.88</v>
      </c>
      <c r="I50" s="279" t="s">
        <v>479</v>
      </c>
    </row>
    <row r="51" spans="1:9" ht="31.5">
      <c r="A51" s="279" t="s">
        <v>474</v>
      </c>
      <c r="B51" s="279" t="s">
        <v>475</v>
      </c>
      <c r="C51" s="279" t="s">
        <v>305</v>
      </c>
      <c r="D51" s="279" t="s">
        <v>306</v>
      </c>
      <c r="E51" s="279">
        <f t="shared" si="15"/>
        <v>0.62175420000000003</v>
      </c>
      <c r="F51" s="480" t="s">
        <v>477</v>
      </c>
      <c r="G51" s="281">
        <f t="shared" si="12"/>
        <v>19.420000000000002</v>
      </c>
      <c r="I51" s="279" t="s">
        <v>480</v>
      </c>
    </row>
    <row r="52" spans="1:9" ht="15.75">
      <c r="A52" s="504"/>
      <c r="B52" s="505"/>
      <c r="C52" s="505"/>
      <c r="D52" s="505"/>
      <c r="E52" s="505"/>
      <c r="F52" s="506"/>
      <c r="G52" s="418">
        <f>TRUNC(SUM(G46:G51),2)</f>
        <v>40.78</v>
      </c>
    </row>
    <row r="54" spans="1:9" ht="15.75">
      <c r="A54" s="498" t="s">
        <v>334</v>
      </c>
      <c r="B54" s="723" t="str">
        <f>ORÇAMENTO!B19</f>
        <v>VIGA DE MADEIRA ROLIÇA EM EUCALIPTO TRATADO, DIÂMETRO DE 12 CM, COMPRIMENTO DE 1,48 M. ITEM 07 DO PROJETO</v>
      </c>
      <c r="C54" s="724"/>
      <c r="D54" s="724"/>
      <c r="E54" s="724"/>
      <c r="F54" s="724"/>
      <c r="G54" s="725"/>
    </row>
    <row r="55" spans="1:9" ht="15.75">
      <c r="A55" s="499" t="s">
        <v>269</v>
      </c>
      <c r="B55" s="499" t="s">
        <v>299</v>
      </c>
      <c r="C55" s="499" t="s">
        <v>300</v>
      </c>
      <c r="D55" s="499" t="s">
        <v>301</v>
      </c>
      <c r="E55" s="499" t="s">
        <v>302</v>
      </c>
      <c r="F55" s="500" t="s">
        <v>303</v>
      </c>
      <c r="G55" s="499" t="s">
        <v>304</v>
      </c>
    </row>
    <row r="56" spans="1:9" ht="33">
      <c r="A56" s="501" t="s">
        <v>466</v>
      </c>
      <c r="B56" s="501" t="s">
        <v>486</v>
      </c>
      <c r="C56" s="501" t="s">
        <v>467</v>
      </c>
      <c r="D56" s="501" t="s">
        <v>484</v>
      </c>
      <c r="E56" s="501">
        <f>1.09159*(1-20.73%)</f>
        <v>0.86530339300000003</v>
      </c>
      <c r="F56" s="502">
        <f>COTAÇÃO!F59</f>
        <v>10</v>
      </c>
      <c r="G56" s="503">
        <f t="shared" ref="G56:G61" si="16">TRUNC(E56*F56,2)</f>
        <v>8.65</v>
      </c>
    </row>
    <row r="57" spans="1:9" ht="18.75">
      <c r="A57" s="501" t="s">
        <v>49</v>
      </c>
      <c r="B57" s="501" t="s">
        <v>518</v>
      </c>
      <c r="C57" s="501" t="s">
        <v>467</v>
      </c>
      <c r="D57" s="501" t="s">
        <v>484</v>
      </c>
      <c r="E57" s="501">
        <f>((0.12+0.14+0.12+0.14+0.12+0.04*3)/3*2/2)*(1-20.73%)</f>
        <v>0.20081733333333335</v>
      </c>
      <c r="F57" s="508">
        <f>COTAÇÃO!F66</f>
        <v>12</v>
      </c>
      <c r="G57" s="507">
        <f t="shared" si="16"/>
        <v>2.4</v>
      </c>
    </row>
    <row r="58" spans="1:9" ht="33">
      <c r="A58" s="501" t="s">
        <v>49</v>
      </c>
      <c r="B58" s="501" t="s">
        <v>516</v>
      </c>
      <c r="C58" s="501" t="s">
        <v>478</v>
      </c>
      <c r="D58" s="501" t="s">
        <v>484</v>
      </c>
      <c r="E58" s="501">
        <f>(3/2*2)*(1-20.73%)</f>
        <v>2.3780999999999999</v>
      </c>
      <c r="F58" s="508">
        <f>COTAÇÃO!F73</f>
        <v>0.24</v>
      </c>
      <c r="G58" s="507">
        <f t="shared" si="16"/>
        <v>0.56999999999999995</v>
      </c>
    </row>
    <row r="59" spans="1:9" ht="33">
      <c r="A59" s="501" t="s">
        <v>49</v>
      </c>
      <c r="B59" s="501" t="s">
        <v>517</v>
      </c>
      <c r="C59" s="501" t="s">
        <v>478</v>
      </c>
      <c r="D59" s="501" t="s">
        <v>484</v>
      </c>
      <c r="E59" s="501">
        <f>(3/2*2)*(1-20.73%)</f>
        <v>2.3780999999999999</v>
      </c>
      <c r="F59" s="508">
        <f>COTAÇÃO!F80</f>
        <v>0.24</v>
      </c>
      <c r="G59" s="507">
        <f t="shared" si="16"/>
        <v>0.56999999999999995</v>
      </c>
    </row>
    <row r="60" spans="1:9" ht="31.5">
      <c r="A60" s="279" t="s">
        <v>470</v>
      </c>
      <c r="B60" s="279" t="s">
        <v>471</v>
      </c>
      <c r="C60" s="279" t="s">
        <v>305</v>
      </c>
      <c r="D60" s="279" t="s">
        <v>521</v>
      </c>
      <c r="E60" s="279">
        <f t="shared" ref="E60:E61" si="17">I60*$I$1</f>
        <v>0.44411173999999998</v>
      </c>
      <c r="F60" s="480" t="s">
        <v>473</v>
      </c>
      <c r="G60" s="281">
        <f t="shared" si="16"/>
        <v>10.88</v>
      </c>
      <c r="I60" s="279" t="s">
        <v>479</v>
      </c>
    </row>
    <row r="61" spans="1:9" ht="31.5">
      <c r="A61" s="279" t="s">
        <v>474</v>
      </c>
      <c r="B61" s="279" t="s">
        <v>475</v>
      </c>
      <c r="C61" s="279" t="s">
        <v>305</v>
      </c>
      <c r="D61" s="279" t="s">
        <v>306</v>
      </c>
      <c r="E61" s="279">
        <f t="shared" si="17"/>
        <v>0.62175420000000003</v>
      </c>
      <c r="F61" s="480" t="s">
        <v>477</v>
      </c>
      <c r="G61" s="281">
        <f t="shared" si="16"/>
        <v>19.420000000000002</v>
      </c>
      <c r="I61" s="279" t="s">
        <v>480</v>
      </c>
    </row>
    <row r="62" spans="1:9" ht="15.75">
      <c r="A62" s="504"/>
      <c r="B62" s="505"/>
      <c r="C62" s="505"/>
      <c r="D62" s="505"/>
      <c r="E62" s="505"/>
      <c r="F62" s="506"/>
      <c r="G62" s="418">
        <f>TRUNC(SUM(G56:G61),2)</f>
        <v>42.49</v>
      </c>
    </row>
  </sheetData>
  <mergeCells count="13">
    <mergeCell ref="B28:G28"/>
    <mergeCell ref="B44:G44"/>
    <mergeCell ref="B54:G54"/>
    <mergeCell ref="B13:G13"/>
    <mergeCell ref="B5:G5"/>
    <mergeCell ref="B36:G36"/>
    <mergeCell ref="B1:G1"/>
    <mergeCell ref="A1:A3"/>
    <mergeCell ref="B21:G21"/>
    <mergeCell ref="C2:D2"/>
    <mergeCell ref="C3:D3"/>
    <mergeCell ref="E2:F3"/>
    <mergeCell ref="G2:G3"/>
  </mergeCells>
  <printOptions horizontalCentered="1"/>
  <pageMargins left="0.51181102362204722" right="0.51181102362204722" top="0.78740157480314965" bottom="0.59055118110236227" header="0.31496062992125984" footer="0.31496062992125984"/>
  <pageSetup paperSize="9" scale="49" orientation="portrait" r:id="rId1"/>
  <ignoredErrors>
    <ignoredError sqref="A9:A10 E39 A60:A61 E60:F61 F32:F33 I9:I10 F40:F41 F50:F51 E24:F25 E7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1"/>
  <sheetViews>
    <sheetView showGridLines="0" view="pageBreakPreview" zoomScaleNormal="100" zoomScaleSheetLayoutView="100" workbookViewId="0">
      <selection activeCell="D11" sqref="D11:E11"/>
    </sheetView>
  </sheetViews>
  <sheetFormatPr defaultRowHeight="15"/>
  <cols>
    <col min="1" max="1" width="11.42578125" customWidth="1"/>
    <col min="2" max="2" width="72.28515625" bestFit="1" customWidth="1"/>
    <col min="3" max="4" width="11.42578125" style="1" bestFit="1" customWidth="1"/>
    <col min="5" max="5" width="11.85546875" style="1" bestFit="1" customWidth="1"/>
    <col min="6" max="6" width="10.5703125" style="1" bestFit="1" customWidth="1"/>
    <col min="7" max="7" width="12" style="1" bestFit="1" customWidth="1"/>
    <col min="8" max="8" width="15.140625" customWidth="1"/>
  </cols>
  <sheetData>
    <row r="1" spans="1:8" s="233" customFormat="1">
      <c r="A1" s="233" t="s">
        <v>148</v>
      </c>
      <c r="C1" s="242" t="s">
        <v>150</v>
      </c>
      <c r="D1" s="242"/>
      <c r="E1" s="242"/>
      <c r="F1" s="242"/>
      <c r="G1" s="242"/>
      <c r="H1" s="220" t="s">
        <v>307</v>
      </c>
    </row>
    <row r="2" spans="1:8" s="233" customFormat="1">
      <c r="A2" s="233" t="s">
        <v>149</v>
      </c>
      <c r="C2" s="92">
        <v>44287</v>
      </c>
      <c r="D2" s="242"/>
      <c r="E2" s="243" t="s">
        <v>151</v>
      </c>
      <c r="F2" s="172">
        <v>1</v>
      </c>
      <c r="G2" s="235" t="s">
        <v>15</v>
      </c>
    </row>
    <row r="3" spans="1:8" s="233" customFormat="1">
      <c r="A3" s="5">
        <v>2003579</v>
      </c>
      <c r="B3" s="5" t="s">
        <v>343</v>
      </c>
      <c r="C3" s="242"/>
      <c r="D3" s="242"/>
      <c r="E3" s="242"/>
      <c r="F3" s="242"/>
      <c r="G3" s="242"/>
      <c r="H3" s="243" t="s">
        <v>152</v>
      </c>
    </row>
    <row r="4" spans="1:8" s="233" customFormat="1">
      <c r="A4" s="731" t="s">
        <v>134</v>
      </c>
      <c r="B4" s="731"/>
      <c r="C4" s="744" t="s">
        <v>4</v>
      </c>
      <c r="D4" s="746" t="s">
        <v>141</v>
      </c>
      <c r="E4" s="746"/>
      <c r="F4" s="746" t="s">
        <v>142</v>
      </c>
      <c r="G4" s="746"/>
      <c r="H4" s="744" t="s">
        <v>144</v>
      </c>
    </row>
    <row r="5" spans="1:8" s="233" customFormat="1">
      <c r="A5" s="732"/>
      <c r="B5" s="732"/>
      <c r="C5" s="745"/>
      <c r="D5" s="12" t="s">
        <v>137</v>
      </c>
      <c r="E5" s="12" t="s">
        <v>138</v>
      </c>
      <c r="F5" s="12" t="s">
        <v>139</v>
      </c>
      <c r="G5" s="12" t="s">
        <v>140</v>
      </c>
      <c r="H5" s="745"/>
    </row>
    <row r="6" spans="1:8" s="233" customFormat="1">
      <c r="A6" s="233" t="s">
        <v>344</v>
      </c>
      <c r="B6" s="233" t="s">
        <v>345</v>
      </c>
      <c r="C6" s="93">
        <v>1.6060000000000001E-2</v>
      </c>
      <c r="D6" s="171">
        <v>1</v>
      </c>
      <c r="E6" s="171">
        <v>0</v>
      </c>
      <c r="F6" s="245">
        <v>6.3029999999999999</v>
      </c>
      <c r="G6" s="245">
        <v>0.72219999999999995</v>
      </c>
      <c r="H6" s="89">
        <f>C6*D6*F6+E6*G6</f>
        <v>0.10122618000000001</v>
      </c>
    </row>
    <row r="7" spans="1:8" s="233" customFormat="1">
      <c r="C7" s="242"/>
      <c r="D7" s="242"/>
      <c r="E7" s="242"/>
      <c r="F7" s="242"/>
      <c r="G7" s="243" t="s">
        <v>157</v>
      </c>
      <c r="H7" s="91">
        <f>SUM(H6:H6)</f>
        <v>0.10122618000000001</v>
      </c>
    </row>
    <row r="8" spans="1:8" s="233" customFormat="1">
      <c r="A8" s="25" t="s">
        <v>143</v>
      </c>
      <c r="B8" s="25"/>
      <c r="C8" s="238" t="s">
        <v>4</v>
      </c>
      <c r="D8" s="238" t="s">
        <v>3</v>
      </c>
      <c r="E8" s="735" t="s">
        <v>142</v>
      </c>
      <c r="F8" s="735"/>
      <c r="G8" s="747" t="s">
        <v>144</v>
      </c>
      <c r="H8" s="747"/>
    </row>
    <row r="9" spans="1:8" s="233" customFormat="1">
      <c r="A9" s="233" t="s">
        <v>213</v>
      </c>
      <c r="B9" s="233" t="s">
        <v>214</v>
      </c>
      <c r="C9" s="93">
        <v>0.08</v>
      </c>
      <c r="D9" s="242" t="s">
        <v>147</v>
      </c>
      <c r="E9" s="739">
        <v>26.474499999999999</v>
      </c>
      <c r="F9" s="739"/>
      <c r="G9" s="740">
        <f>C9*E9</f>
        <v>2.1179600000000001</v>
      </c>
      <c r="H9" s="740"/>
    </row>
    <row r="10" spans="1:8" s="233" customFormat="1">
      <c r="A10" s="233" t="s">
        <v>145</v>
      </c>
      <c r="B10" s="233" t="s">
        <v>146</v>
      </c>
      <c r="C10" s="93">
        <v>1.19245</v>
      </c>
      <c r="D10" s="242" t="s">
        <v>147</v>
      </c>
      <c r="E10" s="739">
        <v>21.135400000000001</v>
      </c>
      <c r="F10" s="739"/>
      <c r="G10" s="763">
        <f>C10*E10</f>
        <v>25.20290773</v>
      </c>
      <c r="H10" s="763"/>
    </row>
    <row r="11" spans="1:8" s="233" customFormat="1">
      <c r="C11" s="242"/>
      <c r="D11" s="242"/>
      <c r="E11" s="242"/>
      <c r="F11" s="243" t="s">
        <v>155</v>
      </c>
      <c r="G11" s="763">
        <f>SUM(G9:H10)</f>
        <v>27.32086773</v>
      </c>
      <c r="H11" s="763"/>
    </row>
    <row r="12" spans="1:8" s="233" customFormat="1">
      <c r="A12" s="10"/>
      <c r="B12" s="10"/>
      <c r="C12" s="12"/>
      <c r="D12" s="12"/>
      <c r="E12" s="12"/>
      <c r="F12" s="240" t="s">
        <v>156</v>
      </c>
      <c r="G12" s="749">
        <f>G11+H7</f>
        <v>27.422093910000001</v>
      </c>
      <c r="H12" s="750"/>
    </row>
    <row r="13" spans="1:8" s="233" customFormat="1">
      <c r="C13" s="242"/>
      <c r="D13" s="242"/>
      <c r="E13" s="242"/>
      <c r="F13" s="243" t="s">
        <v>166</v>
      </c>
      <c r="G13" s="247"/>
      <c r="H13" s="246">
        <f>G12/F2</f>
        <v>27.422093910000001</v>
      </c>
    </row>
    <row r="14" spans="1:8" s="233" customFormat="1">
      <c r="C14" s="242"/>
      <c r="D14" s="242"/>
      <c r="E14" s="242"/>
      <c r="F14" s="243" t="s">
        <v>170</v>
      </c>
      <c r="G14" s="247"/>
      <c r="H14" s="246"/>
    </row>
    <row r="15" spans="1:8" s="233" customFormat="1">
      <c r="A15" s="25" t="s">
        <v>153</v>
      </c>
      <c r="B15" s="25"/>
      <c r="C15" s="238" t="s">
        <v>4</v>
      </c>
      <c r="D15" s="238" t="s">
        <v>3</v>
      </c>
      <c r="E15" s="735" t="s">
        <v>244</v>
      </c>
      <c r="F15" s="735"/>
      <c r="G15" s="747" t="s">
        <v>144</v>
      </c>
      <c r="H15" s="747"/>
    </row>
    <row r="16" spans="1:8" s="211" customFormat="1">
      <c r="A16" s="211" t="s">
        <v>321</v>
      </c>
      <c r="B16" s="211" t="s">
        <v>324</v>
      </c>
      <c r="C16" s="209">
        <v>0.29607</v>
      </c>
      <c r="D16" s="213" t="s">
        <v>14</v>
      </c>
      <c r="E16" s="741" t="e">
        <f>#REF!</f>
        <v>#REF!</v>
      </c>
      <c r="F16" s="741"/>
      <c r="G16" s="742" t="e">
        <f>C16*E16</f>
        <v>#REF!</v>
      </c>
      <c r="H16" s="742"/>
    </row>
    <row r="17" spans="1:8" s="211" customFormat="1">
      <c r="A17" s="211" t="s">
        <v>346</v>
      </c>
      <c r="B17" s="211" t="s">
        <v>349</v>
      </c>
      <c r="C17" s="209">
        <v>0.29608000000000001</v>
      </c>
      <c r="D17" s="213" t="s">
        <v>14</v>
      </c>
      <c r="E17" s="741" t="e">
        <f>#REF!</f>
        <v>#REF!</v>
      </c>
      <c r="F17" s="741"/>
      <c r="G17" s="742" t="e">
        <f>C17*E17</f>
        <v>#REF!</v>
      </c>
      <c r="H17" s="742"/>
    </row>
    <row r="18" spans="1:8" s="211" customFormat="1">
      <c r="A18" s="211" t="s">
        <v>347</v>
      </c>
      <c r="B18" s="211" t="s">
        <v>351</v>
      </c>
      <c r="C18" s="209">
        <v>4.0999999999999996</v>
      </c>
      <c r="D18" s="213" t="s">
        <v>17</v>
      </c>
      <c r="E18" s="741" t="e">
        <f>#REF!</f>
        <v>#REF!</v>
      </c>
      <c r="F18" s="741"/>
      <c r="G18" s="742" t="e">
        <f t="shared" ref="G18:G19" si="0">C18*E18</f>
        <v>#REF!</v>
      </c>
      <c r="H18" s="742"/>
    </row>
    <row r="19" spans="1:8" s="211" customFormat="1">
      <c r="A19" s="211" t="s">
        <v>348</v>
      </c>
      <c r="B19" s="211" t="s">
        <v>350</v>
      </c>
      <c r="C19" s="209">
        <v>1</v>
      </c>
      <c r="D19" s="213" t="s">
        <v>15</v>
      </c>
      <c r="E19" s="741" t="e">
        <f>#REF!</f>
        <v>#REF!</v>
      </c>
      <c r="F19" s="741"/>
      <c r="G19" s="742" t="e">
        <f t="shared" si="0"/>
        <v>#REF!</v>
      </c>
      <c r="H19" s="742"/>
    </row>
    <row r="20" spans="1:8" s="233" customFormat="1">
      <c r="A20" s="10"/>
      <c r="B20" s="10"/>
      <c r="C20" s="12"/>
      <c r="D20" s="12"/>
      <c r="E20" s="12"/>
      <c r="F20" s="240" t="s">
        <v>154</v>
      </c>
      <c r="G20" s="748" t="e">
        <f>SUM(G16:H19)</f>
        <v>#REF!</v>
      </c>
      <c r="H20" s="748"/>
    </row>
    <row r="21" spans="1:8" s="233" customFormat="1">
      <c r="C21" s="242"/>
      <c r="D21" s="242"/>
      <c r="E21" s="242"/>
      <c r="F21" s="242"/>
      <c r="G21" s="242" t="s">
        <v>165</v>
      </c>
      <c r="H21" s="91" t="e">
        <f>SUM(G20)</f>
        <v>#REF!</v>
      </c>
    </row>
    <row r="22" spans="1:8" s="233" customFormat="1">
      <c r="A22" s="25" t="s">
        <v>158</v>
      </c>
      <c r="B22" s="25"/>
      <c r="C22" s="238" t="s">
        <v>4</v>
      </c>
      <c r="D22" s="238" t="s">
        <v>3</v>
      </c>
      <c r="E22" s="735" t="s">
        <v>142</v>
      </c>
      <c r="F22" s="735"/>
      <c r="G22" s="747" t="s">
        <v>144</v>
      </c>
      <c r="H22" s="747"/>
    </row>
    <row r="23" spans="1:8" s="233" customFormat="1">
      <c r="A23" s="248">
        <v>4805757</v>
      </c>
      <c r="B23" s="10" t="s">
        <v>352</v>
      </c>
      <c r="C23" s="12">
        <v>0.6</v>
      </c>
      <c r="D23" s="12" t="s">
        <v>14</v>
      </c>
      <c r="E23" s="735">
        <v>4.76</v>
      </c>
      <c r="F23" s="735"/>
      <c r="G23" s="240"/>
      <c r="H23" s="239">
        <f>C23*E23</f>
        <v>2.8559999999999999</v>
      </c>
    </row>
    <row r="24" spans="1:8" s="233" customFormat="1">
      <c r="A24" s="10"/>
      <c r="B24" s="10"/>
      <c r="C24" s="12"/>
      <c r="D24" s="12"/>
      <c r="E24" s="12"/>
      <c r="F24" s="240" t="s">
        <v>251</v>
      </c>
      <c r="G24" s="748"/>
      <c r="H24" s="748"/>
    </row>
    <row r="25" spans="1:8" s="233" customFormat="1">
      <c r="A25" s="10"/>
      <c r="B25" s="10"/>
      <c r="C25" s="12"/>
      <c r="D25" s="12"/>
      <c r="E25" s="12"/>
      <c r="F25" s="240" t="s">
        <v>252</v>
      </c>
      <c r="G25" s="749" t="e">
        <f>G24+H14+H13+H21+H23</f>
        <v>#REF!</v>
      </c>
      <c r="H25" s="750"/>
    </row>
    <row r="26" spans="1:8" s="233" customFormat="1">
      <c r="C26" s="242"/>
      <c r="D26" s="242"/>
      <c r="E26" s="242"/>
      <c r="F26" s="243"/>
      <c r="G26" s="247"/>
      <c r="H26" s="246"/>
    </row>
    <row r="27" spans="1:8" s="233" customFormat="1">
      <c r="A27" s="25" t="s">
        <v>160</v>
      </c>
      <c r="B27" s="25"/>
      <c r="C27" s="238" t="s">
        <v>161</v>
      </c>
      <c r="D27" s="238" t="s">
        <v>4</v>
      </c>
      <c r="E27" s="238" t="s">
        <v>3</v>
      </c>
      <c r="F27" s="735" t="s">
        <v>162</v>
      </c>
      <c r="G27" s="735"/>
      <c r="H27" s="241" t="s">
        <v>162</v>
      </c>
    </row>
    <row r="28" spans="1:8" s="233" customFormat="1">
      <c r="A28" s="96" t="s">
        <v>321</v>
      </c>
      <c r="B28" s="99" t="s">
        <v>327</v>
      </c>
      <c r="C28" s="244">
        <v>5914647</v>
      </c>
      <c r="D28" s="174">
        <v>0.44411</v>
      </c>
      <c r="E28" s="244" t="s">
        <v>133</v>
      </c>
      <c r="F28" s="743">
        <v>1.1000000000000001</v>
      </c>
      <c r="G28" s="743"/>
      <c r="H28" s="100">
        <f>D28*F28</f>
        <v>0.48852100000000004</v>
      </c>
    </row>
    <row r="29" spans="1:8" s="233" customFormat="1">
      <c r="A29" s="96" t="s">
        <v>346</v>
      </c>
      <c r="B29" s="99" t="s">
        <v>353</v>
      </c>
      <c r="C29" s="244">
        <v>5914647</v>
      </c>
      <c r="D29" s="174">
        <v>0.44412000000000001</v>
      </c>
      <c r="E29" s="244" t="s">
        <v>133</v>
      </c>
      <c r="F29" s="743">
        <v>1.1000000000000001</v>
      </c>
      <c r="G29" s="743"/>
      <c r="H29" s="100">
        <f>D29*F29</f>
        <v>0.48853200000000008</v>
      </c>
    </row>
    <row r="30" spans="1:8" s="233" customFormat="1" ht="30">
      <c r="A30" s="96" t="s">
        <v>347</v>
      </c>
      <c r="B30" s="99" t="s">
        <v>354</v>
      </c>
      <c r="C30" s="244">
        <v>5914655</v>
      </c>
      <c r="D30" s="174">
        <v>1.0300000000000001E-3</v>
      </c>
      <c r="E30" s="244" t="s">
        <v>133</v>
      </c>
      <c r="F30" s="743">
        <v>26.19</v>
      </c>
      <c r="G30" s="743"/>
      <c r="H30" s="100">
        <f>D30*F30</f>
        <v>2.6975700000000005E-2</v>
      </c>
    </row>
    <row r="31" spans="1:8" s="233" customFormat="1" ht="30">
      <c r="A31" s="96" t="s">
        <v>348</v>
      </c>
      <c r="B31" s="99" t="s">
        <v>355</v>
      </c>
      <c r="C31" s="244">
        <v>5914655</v>
      </c>
      <c r="D31" s="174">
        <v>2.521E-2</v>
      </c>
      <c r="E31" s="244" t="s">
        <v>133</v>
      </c>
      <c r="F31" s="743">
        <v>26.19</v>
      </c>
      <c r="G31" s="743"/>
      <c r="H31" s="100">
        <f>D31*F31</f>
        <v>0.66024990000000006</v>
      </c>
    </row>
    <row r="32" spans="1:8" s="233" customFormat="1">
      <c r="C32" s="242"/>
      <c r="D32" s="242"/>
      <c r="E32" s="242"/>
      <c r="F32" s="242"/>
      <c r="G32" s="243" t="s">
        <v>163</v>
      </c>
      <c r="H32" s="89">
        <f>SUM(H28:H31)</f>
        <v>1.6642786000000003</v>
      </c>
    </row>
    <row r="33" spans="1:8" s="233" customFormat="1">
      <c r="A33" s="731" t="s">
        <v>236</v>
      </c>
      <c r="B33" s="731"/>
      <c r="C33" s="733" t="s">
        <v>4</v>
      </c>
      <c r="D33" s="733" t="s">
        <v>3</v>
      </c>
      <c r="E33" s="735" t="s">
        <v>237</v>
      </c>
      <c r="F33" s="735"/>
      <c r="G33" s="735"/>
      <c r="H33" s="736" t="s">
        <v>162</v>
      </c>
    </row>
    <row r="34" spans="1:8" s="233" customFormat="1">
      <c r="A34" s="732"/>
      <c r="B34" s="732"/>
      <c r="C34" s="734"/>
      <c r="D34" s="734"/>
      <c r="E34" s="12" t="s">
        <v>238</v>
      </c>
      <c r="F34" s="12" t="s">
        <v>239</v>
      </c>
      <c r="G34" s="12" t="s">
        <v>240</v>
      </c>
      <c r="H34" s="737"/>
    </row>
    <row r="35" spans="1:8" s="233" customFormat="1">
      <c r="A35" s="7"/>
      <c r="B35" s="7"/>
      <c r="C35" s="93"/>
      <c r="D35" s="242"/>
      <c r="E35" s="738"/>
      <c r="F35" s="738"/>
      <c r="G35" s="171"/>
      <c r="H35" s="176"/>
    </row>
    <row r="36" spans="1:8" s="233" customFormat="1">
      <c r="A36" s="10"/>
      <c r="B36" s="10"/>
      <c r="C36" s="12"/>
      <c r="D36" s="12"/>
      <c r="E36" s="12"/>
      <c r="F36" s="12"/>
      <c r="G36" s="240" t="s">
        <v>242</v>
      </c>
      <c r="H36" s="177">
        <f>SUM(H35:H35)</f>
        <v>0</v>
      </c>
    </row>
    <row r="37" spans="1:8" s="233" customFormat="1">
      <c r="A37" s="10"/>
      <c r="B37" s="10"/>
      <c r="C37" s="12"/>
      <c r="D37" s="12"/>
      <c r="E37" s="12"/>
      <c r="F37" s="12"/>
      <c r="G37" s="240" t="s">
        <v>164</v>
      </c>
      <c r="H37" s="181" t="e">
        <f>H32+G25+H36</f>
        <v>#REF!</v>
      </c>
    </row>
    <row r="38" spans="1:8" s="233" customFormat="1">
      <c r="A38" s="7"/>
      <c r="B38" s="7"/>
      <c r="C38" s="8"/>
      <c r="D38" s="8"/>
      <c r="E38" s="8"/>
      <c r="F38" s="8"/>
      <c r="G38" s="31"/>
      <c r="H38" s="212"/>
    </row>
    <row r="39" spans="1:8" s="233" customFormat="1">
      <c r="A39" s="7"/>
      <c r="B39" s="7"/>
      <c r="C39" s="8"/>
      <c r="D39" s="8"/>
      <c r="E39" s="8"/>
      <c r="F39" s="8"/>
      <c r="G39" s="31"/>
      <c r="H39" s="212"/>
    </row>
    <row r="40" spans="1:8" s="233" customFormat="1">
      <c r="A40" s="7"/>
      <c r="B40" s="7"/>
      <c r="C40" s="8"/>
      <c r="D40" s="8"/>
      <c r="E40" s="8"/>
      <c r="F40" s="8"/>
      <c r="G40" s="31"/>
      <c r="H40" s="212"/>
    </row>
    <row r="41" spans="1:8">
      <c r="A41" t="s">
        <v>148</v>
      </c>
      <c r="C41" s="200" t="s">
        <v>150</v>
      </c>
      <c r="D41" s="200"/>
      <c r="E41" s="200"/>
      <c r="F41" s="200"/>
      <c r="G41" s="200"/>
      <c r="H41" s="220" t="s">
        <v>309</v>
      </c>
    </row>
    <row r="42" spans="1:8">
      <c r="A42" t="s">
        <v>149</v>
      </c>
      <c r="C42" s="92">
        <v>44287</v>
      </c>
      <c r="D42" s="200"/>
      <c r="E42" s="204" t="s">
        <v>151</v>
      </c>
      <c r="F42" s="172">
        <v>84.62</v>
      </c>
      <c r="G42" s="16" t="s">
        <v>14</v>
      </c>
    </row>
    <row r="43" spans="1:8">
      <c r="A43" s="5">
        <v>4011282</v>
      </c>
      <c r="B43" s="5" t="s">
        <v>310</v>
      </c>
      <c r="C43" s="200"/>
      <c r="D43" s="200"/>
      <c r="E43" s="200"/>
      <c r="F43" s="200"/>
      <c r="G43" s="200"/>
      <c r="H43" s="204" t="s">
        <v>152</v>
      </c>
    </row>
    <row r="44" spans="1:8">
      <c r="A44" s="731" t="s">
        <v>134</v>
      </c>
      <c r="B44" s="731"/>
      <c r="C44" s="744" t="s">
        <v>4</v>
      </c>
      <c r="D44" s="746" t="s">
        <v>141</v>
      </c>
      <c r="E44" s="746"/>
      <c r="F44" s="746" t="s">
        <v>142</v>
      </c>
      <c r="G44" s="746"/>
      <c r="H44" s="744" t="s">
        <v>144</v>
      </c>
    </row>
    <row r="45" spans="1:8">
      <c r="A45" s="732"/>
      <c r="B45" s="732"/>
      <c r="C45" s="745"/>
      <c r="D45" s="12" t="s">
        <v>137</v>
      </c>
      <c r="E45" s="12" t="s">
        <v>138</v>
      </c>
      <c r="F45" s="12" t="s">
        <v>139</v>
      </c>
      <c r="G45" s="12" t="s">
        <v>140</v>
      </c>
      <c r="H45" s="745"/>
    </row>
    <row r="46" spans="1:8">
      <c r="A46" t="s">
        <v>249</v>
      </c>
      <c r="B46" t="s">
        <v>250</v>
      </c>
      <c r="C46" s="93">
        <v>1</v>
      </c>
      <c r="D46" s="171">
        <v>0.76</v>
      </c>
      <c r="E46" s="171">
        <v>0.24</v>
      </c>
      <c r="F46" s="199">
        <v>226.63300000000001</v>
      </c>
      <c r="G46" s="199">
        <v>60.494799999999998</v>
      </c>
      <c r="H46" s="89">
        <f>C46*D46*F46+E46*G46</f>
        <v>186.75983200000002</v>
      </c>
    </row>
    <row r="47" spans="1:8">
      <c r="A47" t="s">
        <v>167</v>
      </c>
      <c r="B47" t="s">
        <v>186</v>
      </c>
      <c r="C47" s="93">
        <v>1</v>
      </c>
      <c r="D47" s="171">
        <v>0.88</v>
      </c>
      <c r="E47" s="171">
        <v>0.12</v>
      </c>
      <c r="F47" s="245">
        <v>151.4177</v>
      </c>
      <c r="G47" s="245">
        <v>72.008300000000006</v>
      </c>
      <c r="H47" s="89">
        <f>C47*D47*F47+E47*G47</f>
        <v>141.88857200000001</v>
      </c>
    </row>
    <row r="48" spans="1:8">
      <c r="A48" t="s">
        <v>168</v>
      </c>
      <c r="B48" t="s">
        <v>245</v>
      </c>
      <c r="C48" s="93">
        <v>1</v>
      </c>
      <c r="D48" s="171">
        <v>0.71</v>
      </c>
      <c r="E48" s="171">
        <v>0.28999999999999998</v>
      </c>
      <c r="F48" s="245">
        <v>146.9331</v>
      </c>
      <c r="G48" s="245">
        <v>60.789700000000003</v>
      </c>
      <c r="H48" s="89">
        <f>C48*D48*F48+E48*G48</f>
        <v>121.95151399999999</v>
      </c>
    </row>
    <row r="49" spans="1:8">
      <c r="C49" s="200"/>
      <c r="D49" s="200"/>
      <c r="E49" s="200"/>
      <c r="F49" s="200"/>
      <c r="G49" s="204" t="s">
        <v>157</v>
      </c>
      <c r="H49" s="91">
        <f>SUM(H46:H48)</f>
        <v>450.599918</v>
      </c>
    </row>
    <row r="50" spans="1:8">
      <c r="A50" s="25" t="s">
        <v>143</v>
      </c>
      <c r="B50" s="25"/>
      <c r="C50" s="202" t="s">
        <v>4</v>
      </c>
      <c r="D50" s="202" t="s">
        <v>3</v>
      </c>
      <c r="E50" s="735" t="s">
        <v>142</v>
      </c>
      <c r="F50" s="735"/>
      <c r="G50" s="747" t="s">
        <v>144</v>
      </c>
      <c r="H50" s="747"/>
    </row>
    <row r="51" spans="1:8">
      <c r="A51" t="s">
        <v>145</v>
      </c>
      <c r="B51" t="s">
        <v>146</v>
      </c>
      <c r="C51" s="93">
        <v>1</v>
      </c>
      <c r="D51" s="200" t="s">
        <v>147</v>
      </c>
      <c r="E51" s="739">
        <v>21.135400000000001</v>
      </c>
      <c r="F51" s="739"/>
      <c r="G51" s="740">
        <f>C51*E51</f>
        <v>21.135400000000001</v>
      </c>
      <c r="H51" s="740"/>
    </row>
    <row r="52" spans="1:8">
      <c r="C52" s="200"/>
      <c r="D52" s="200"/>
      <c r="E52" s="200"/>
      <c r="F52" s="204" t="s">
        <v>155</v>
      </c>
      <c r="G52" s="740">
        <f>SUM(G51)</f>
        <v>21.135400000000001</v>
      </c>
      <c r="H52" s="740"/>
    </row>
    <row r="53" spans="1:8">
      <c r="A53" s="10"/>
      <c r="B53" s="10"/>
      <c r="C53" s="12"/>
      <c r="D53" s="12"/>
      <c r="E53" s="12"/>
      <c r="F53" s="205" t="s">
        <v>156</v>
      </c>
      <c r="G53" s="749">
        <f>G52+H49</f>
        <v>471.73531800000001</v>
      </c>
      <c r="H53" s="750"/>
    </row>
    <row r="54" spans="1:8">
      <c r="C54" s="200"/>
      <c r="D54" s="200"/>
      <c r="E54" s="200"/>
      <c r="F54" s="204" t="s">
        <v>166</v>
      </c>
      <c r="G54" s="206"/>
      <c r="H54" s="201">
        <f>G53/F42</f>
        <v>5.5747496809264945</v>
      </c>
    </row>
    <row r="55" spans="1:8">
      <c r="C55" s="200"/>
      <c r="D55" s="200"/>
      <c r="E55" s="200"/>
      <c r="F55" s="204" t="s">
        <v>170</v>
      </c>
      <c r="G55" s="206"/>
      <c r="H55" s="201">
        <v>8.2699999999999996E-2</v>
      </c>
    </row>
    <row r="56" spans="1:8">
      <c r="A56" s="25" t="s">
        <v>153</v>
      </c>
      <c r="B56" s="25"/>
      <c r="C56" s="202" t="s">
        <v>4</v>
      </c>
      <c r="D56" s="202" t="s">
        <v>3</v>
      </c>
      <c r="E56" s="735" t="s">
        <v>244</v>
      </c>
      <c r="F56" s="735"/>
      <c r="G56" s="747" t="s">
        <v>144</v>
      </c>
      <c r="H56" s="747"/>
    </row>
    <row r="57" spans="1:8" s="211" customFormat="1">
      <c r="A57" s="211" t="s">
        <v>311</v>
      </c>
      <c r="B57" s="211" t="s">
        <v>313</v>
      </c>
      <c r="C57" s="209">
        <v>1.26</v>
      </c>
      <c r="D57" s="213" t="s">
        <v>14</v>
      </c>
      <c r="E57" s="741" t="e">
        <f>#REF!</f>
        <v>#REF!</v>
      </c>
      <c r="F57" s="741"/>
      <c r="G57" s="742" t="e">
        <f>C57*E57</f>
        <v>#REF!</v>
      </c>
      <c r="H57" s="742"/>
    </row>
    <row r="58" spans="1:8" s="211" customFormat="1">
      <c r="A58" s="211" t="s">
        <v>312</v>
      </c>
      <c r="B58" s="211" t="s">
        <v>314</v>
      </c>
      <c r="C58" s="209">
        <v>0.14000000000000001</v>
      </c>
      <c r="D58" s="213" t="s">
        <v>14</v>
      </c>
      <c r="E58" s="741" t="e">
        <f>#REF!</f>
        <v>#REF!</v>
      </c>
      <c r="F58" s="741"/>
      <c r="G58" s="742" t="e">
        <f>C58*E58</f>
        <v>#REF!</v>
      </c>
      <c r="H58" s="742"/>
    </row>
    <row r="59" spans="1:8">
      <c r="A59" s="10"/>
      <c r="B59" s="10"/>
      <c r="C59" s="12"/>
      <c r="D59" s="12"/>
      <c r="E59" s="12"/>
      <c r="F59" s="205" t="s">
        <v>154</v>
      </c>
      <c r="G59" s="748" t="e">
        <f>SUM(G57:H58)</f>
        <v>#REF!</v>
      </c>
      <c r="H59" s="748"/>
    </row>
    <row r="60" spans="1:8">
      <c r="C60" s="200"/>
      <c r="D60" s="200"/>
      <c r="E60" s="200"/>
      <c r="F60" s="200"/>
      <c r="G60" s="200" t="s">
        <v>165</v>
      </c>
      <c r="H60" s="91" t="e">
        <f>SUM(G59)</f>
        <v>#REF!</v>
      </c>
    </row>
    <row r="61" spans="1:8">
      <c r="A61" s="25" t="s">
        <v>158</v>
      </c>
      <c r="B61" s="25"/>
      <c r="C61" s="202" t="s">
        <v>4</v>
      </c>
      <c r="D61" s="202" t="s">
        <v>3</v>
      </c>
      <c r="E61" s="735" t="s">
        <v>142</v>
      </c>
      <c r="F61" s="735"/>
      <c r="G61" s="747" t="s">
        <v>144</v>
      </c>
      <c r="H61" s="747"/>
    </row>
    <row r="62" spans="1:8">
      <c r="A62" s="10"/>
      <c r="B62" s="10"/>
      <c r="C62" s="12"/>
      <c r="D62" s="12"/>
      <c r="E62" s="12"/>
      <c r="F62" s="205" t="s">
        <v>251</v>
      </c>
      <c r="G62" s="748"/>
      <c r="H62" s="748"/>
    </row>
    <row r="63" spans="1:8">
      <c r="A63" s="10"/>
      <c r="B63" s="10"/>
      <c r="C63" s="12"/>
      <c r="D63" s="12"/>
      <c r="E63" s="12"/>
      <c r="F63" s="205" t="s">
        <v>252</v>
      </c>
      <c r="G63" s="749" t="e">
        <f>G62+H55+H54+H60</f>
        <v>#REF!</v>
      </c>
      <c r="H63" s="750"/>
    </row>
    <row r="64" spans="1:8">
      <c r="C64" s="200"/>
      <c r="D64" s="200"/>
      <c r="E64" s="200"/>
      <c r="F64" s="204"/>
      <c r="G64" s="206"/>
      <c r="H64" s="201"/>
    </row>
    <row r="65" spans="1:8">
      <c r="A65" s="25" t="s">
        <v>160</v>
      </c>
      <c r="B65" s="25"/>
      <c r="C65" s="202" t="s">
        <v>161</v>
      </c>
      <c r="D65" s="202" t="s">
        <v>4</v>
      </c>
      <c r="E65" s="202" t="s">
        <v>3</v>
      </c>
      <c r="F65" s="735" t="s">
        <v>162</v>
      </c>
      <c r="G65" s="735"/>
      <c r="H65" s="207" t="s">
        <v>162</v>
      </c>
    </row>
    <row r="66" spans="1:8">
      <c r="A66" s="96" t="s">
        <v>311</v>
      </c>
      <c r="B66" s="99" t="s">
        <v>315</v>
      </c>
      <c r="C66" s="203">
        <v>5914651</v>
      </c>
      <c r="D66" s="174">
        <v>1.89</v>
      </c>
      <c r="E66" s="203" t="s">
        <v>133</v>
      </c>
      <c r="F66" s="743">
        <v>1.58</v>
      </c>
      <c r="G66" s="743"/>
      <c r="H66" s="100">
        <f>D66*F66</f>
        <v>2.9862000000000002</v>
      </c>
    </row>
    <row r="67" spans="1:8">
      <c r="A67" s="96" t="s">
        <v>312</v>
      </c>
      <c r="B67" s="99" t="s">
        <v>316</v>
      </c>
      <c r="C67" s="203">
        <v>5914651</v>
      </c>
      <c r="D67" s="174">
        <v>0.21</v>
      </c>
      <c r="E67" s="203" t="s">
        <v>133</v>
      </c>
      <c r="F67" s="743">
        <v>1.58</v>
      </c>
      <c r="G67" s="743"/>
      <c r="H67" s="100">
        <f>D67*F67</f>
        <v>0.33179999999999998</v>
      </c>
    </row>
    <row r="68" spans="1:8">
      <c r="C68" s="200"/>
      <c r="D68" s="200"/>
      <c r="E68" s="200"/>
      <c r="F68" s="200"/>
      <c r="G68" s="204" t="s">
        <v>163</v>
      </c>
      <c r="H68" s="89">
        <f>SUM(H66:H67)</f>
        <v>3.3180000000000001</v>
      </c>
    </row>
    <row r="69" spans="1:8">
      <c r="A69" s="731" t="s">
        <v>236</v>
      </c>
      <c r="B69" s="731"/>
      <c r="C69" s="733" t="s">
        <v>4</v>
      </c>
      <c r="D69" s="733" t="s">
        <v>3</v>
      </c>
      <c r="E69" s="735" t="s">
        <v>237</v>
      </c>
      <c r="F69" s="735"/>
      <c r="G69" s="735"/>
      <c r="H69" s="736" t="s">
        <v>162</v>
      </c>
    </row>
    <row r="70" spans="1:8">
      <c r="A70" s="732"/>
      <c r="B70" s="732"/>
      <c r="C70" s="734"/>
      <c r="D70" s="734"/>
      <c r="E70" s="12" t="s">
        <v>238</v>
      </c>
      <c r="F70" s="12" t="s">
        <v>239</v>
      </c>
      <c r="G70" s="12" t="s">
        <v>240</v>
      </c>
      <c r="H70" s="737"/>
    </row>
    <row r="71" spans="1:8">
      <c r="A71" s="7"/>
      <c r="B71" s="7"/>
      <c r="C71" s="93"/>
      <c r="D71" s="200"/>
      <c r="E71" s="738"/>
      <c r="F71" s="738"/>
      <c r="G71" s="171"/>
      <c r="H71" s="176"/>
    </row>
    <row r="72" spans="1:8">
      <c r="A72" s="10"/>
      <c r="B72" s="10"/>
      <c r="C72" s="12"/>
      <c r="D72" s="12"/>
      <c r="E72" s="12"/>
      <c r="F72" s="12"/>
      <c r="G72" s="205" t="s">
        <v>242</v>
      </c>
      <c r="H72" s="177">
        <f>SUM(H71:H71)</f>
        <v>0</v>
      </c>
    </row>
    <row r="73" spans="1:8">
      <c r="A73" s="10"/>
      <c r="B73" s="10"/>
      <c r="C73" s="12"/>
      <c r="D73" s="12"/>
      <c r="E73" s="12"/>
      <c r="F73" s="12"/>
      <c r="G73" s="205" t="s">
        <v>164</v>
      </c>
      <c r="H73" s="181" t="e">
        <f>H68+G63+H72</f>
        <v>#REF!</v>
      </c>
    </row>
    <row r="74" spans="1:8">
      <c r="A74" s="7"/>
      <c r="B74" s="7"/>
      <c r="C74" s="8"/>
      <c r="D74" s="8"/>
      <c r="E74" s="8"/>
      <c r="F74" s="8"/>
      <c r="G74" s="31"/>
      <c r="H74" s="212"/>
    </row>
    <row r="75" spans="1:8">
      <c r="A75" s="7"/>
      <c r="B75" s="7"/>
      <c r="C75" s="8"/>
      <c r="D75" s="8"/>
      <c r="E75" s="8"/>
      <c r="F75" s="8"/>
      <c r="G75" s="31"/>
      <c r="H75" s="212"/>
    </row>
    <row r="76" spans="1:8">
      <c r="A76" s="7"/>
      <c r="B76" s="7"/>
      <c r="C76" s="8"/>
      <c r="D76" s="8"/>
      <c r="E76" s="8"/>
      <c r="F76" s="8"/>
      <c r="G76" s="31"/>
      <c r="H76" s="212"/>
    </row>
    <row r="77" spans="1:8">
      <c r="A77" s="7"/>
      <c r="B77" s="7"/>
      <c r="C77" s="8"/>
      <c r="D77" s="8"/>
      <c r="E77" s="8"/>
      <c r="F77" s="8"/>
      <c r="G77" s="31"/>
      <c r="H77" s="212"/>
    </row>
    <row r="78" spans="1:8">
      <c r="A78" s="7"/>
      <c r="B78" s="7"/>
      <c r="C78" s="8"/>
      <c r="D78" s="8"/>
      <c r="E78" s="8"/>
      <c r="F78" s="8"/>
      <c r="G78" s="31"/>
      <c r="H78" s="212"/>
    </row>
    <row r="79" spans="1:8">
      <c r="A79" s="7"/>
      <c r="B79" s="7"/>
      <c r="C79" s="8"/>
      <c r="D79" s="8"/>
      <c r="E79" s="8"/>
      <c r="F79" s="8"/>
      <c r="G79" s="31"/>
      <c r="H79" s="212"/>
    </row>
    <row r="80" spans="1:8">
      <c r="A80" s="7"/>
      <c r="B80" s="7"/>
      <c r="C80" s="8"/>
      <c r="D80" s="8"/>
      <c r="E80" s="8"/>
      <c r="F80" s="8"/>
      <c r="G80" s="31"/>
      <c r="H80" s="212"/>
    </row>
    <row r="81" spans="1:8">
      <c r="A81" t="s">
        <v>148</v>
      </c>
      <c r="C81" s="185" t="s">
        <v>150</v>
      </c>
      <c r="D81" s="185"/>
      <c r="E81" s="185"/>
      <c r="F81" s="185"/>
      <c r="G81" s="185"/>
      <c r="H81" s="220" t="s">
        <v>334</v>
      </c>
    </row>
    <row r="82" spans="1:8">
      <c r="A82" t="s">
        <v>149</v>
      </c>
      <c r="C82" s="92">
        <v>44287</v>
      </c>
      <c r="D82" s="185"/>
      <c r="E82" s="188" t="s">
        <v>151</v>
      </c>
      <c r="F82" s="172">
        <v>113.18</v>
      </c>
      <c r="G82" s="16" t="s">
        <v>14</v>
      </c>
    </row>
    <row r="83" spans="1:8">
      <c r="A83" s="5">
        <v>4011276</v>
      </c>
      <c r="B83" s="5" t="s">
        <v>216</v>
      </c>
      <c r="C83" s="185"/>
      <c r="D83" s="185"/>
      <c r="E83" s="185"/>
      <c r="F83" s="185"/>
      <c r="G83" s="185"/>
      <c r="H83" s="188" t="s">
        <v>152</v>
      </c>
    </row>
    <row r="84" spans="1:8">
      <c r="A84" s="731" t="s">
        <v>134</v>
      </c>
      <c r="B84" s="731"/>
      <c r="C84" s="744" t="s">
        <v>4</v>
      </c>
      <c r="D84" s="746" t="s">
        <v>141</v>
      </c>
      <c r="E84" s="746"/>
      <c r="F84" s="746" t="s">
        <v>142</v>
      </c>
      <c r="G84" s="746"/>
      <c r="H84" s="744" t="s">
        <v>144</v>
      </c>
    </row>
    <row r="85" spans="1:8">
      <c r="A85" s="732"/>
      <c r="B85" s="732"/>
      <c r="C85" s="745"/>
      <c r="D85" s="12" t="s">
        <v>137</v>
      </c>
      <c r="E85" s="12" t="s">
        <v>138</v>
      </c>
      <c r="F85" s="12" t="s">
        <v>139</v>
      </c>
      <c r="G85" s="12" t="s">
        <v>140</v>
      </c>
      <c r="H85" s="745"/>
    </row>
    <row r="86" spans="1:8">
      <c r="A86" t="s">
        <v>249</v>
      </c>
      <c r="B86" t="s">
        <v>250</v>
      </c>
      <c r="C86" s="93">
        <v>1</v>
      </c>
      <c r="D86" s="171">
        <v>0.34</v>
      </c>
      <c r="E86" s="171">
        <v>0.66</v>
      </c>
      <c r="F86" s="242">
        <v>226.63300000000001</v>
      </c>
      <c r="G86" s="242">
        <v>60.494799999999998</v>
      </c>
      <c r="H86" s="89">
        <f>C86*D86*F86+E86*G86</f>
        <v>116.98178800000001</v>
      </c>
    </row>
    <row r="87" spans="1:8">
      <c r="A87" t="s">
        <v>167</v>
      </c>
      <c r="B87" t="s">
        <v>186</v>
      </c>
      <c r="C87" s="93">
        <v>1</v>
      </c>
      <c r="D87" s="171">
        <v>0.65</v>
      </c>
      <c r="E87" s="171">
        <v>0.35</v>
      </c>
      <c r="F87" s="242">
        <v>151.4177</v>
      </c>
      <c r="G87" s="242">
        <v>72.008300000000006</v>
      </c>
      <c r="H87" s="89">
        <f>C87*D87*F87+E87*G87</f>
        <v>123.62441</v>
      </c>
    </row>
    <row r="88" spans="1:8">
      <c r="A88" t="s">
        <v>168</v>
      </c>
      <c r="B88" t="s">
        <v>245</v>
      </c>
      <c r="C88" s="93">
        <v>1</v>
      </c>
      <c r="D88" s="171">
        <v>0.52</v>
      </c>
      <c r="E88" s="171">
        <v>0.48</v>
      </c>
      <c r="F88" s="242">
        <v>146.9331</v>
      </c>
      <c r="G88" s="242">
        <v>60.789700000000003</v>
      </c>
      <c r="H88" s="89">
        <f>C88*D88*F88+E88*G88</f>
        <v>105.58426800000001</v>
      </c>
    </row>
    <row r="89" spans="1:8">
      <c r="C89" s="185"/>
      <c r="D89" s="185"/>
      <c r="E89" s="185"/>
      <c r="F89" s="185"/>
      <c r="G89" s="188" t="s">
        <v>157</v>
      </c>
      <c r="H89" s="91">
        <f>SUM(H86:H88)</f>
        <v>346.19046600000001</v>
      </c>
    </row>
    <row r="90" spans="1:8">
      <c r="A90" s="25" t="s">
        <v>143</v>
      </c>
      <c r="B90" s="25"/>
      <c r="C90" s="183" t="s">
        <v>4</v>
      </c>
      <c r="D90" s="183" t="s">
        <v>3</v>
      </c>
      <c r="E90" s="735" t="s">
        <v>142</v>
      </c>
      <c r="F90" s="735"/>
      <c r="G90" s="747" t="s">
        <v>144</v>
      </c>
      <c r="H90" s="747"/>
    </row>
    <row r="91" spans="1:8">
      <c r="A91" t="s">
        <v>145</v>
      </c>
      <c r="B91" t="s">
        <v>146</v>
      </c>
      <c r="C91" s="93">
        <v>1</v>
      </c>
      <c r="D91" s="185" t="s">
        <v>147</v>
      </c>
      <c r="E91" s="739">
        <v>21.135400000000001</v>
      </c>
      <c r="F91" s="739"/>
      <c r="G91" s="740">
        <f>C91*E91</f>
        <v>21.135400000000001</v>
      </c>
      <c r="H91" s="740"/>
    </row>
    <row r="92" spans="1:8">
      <c r="C92" s="185"/>
      <c r="D92" s="185"/>
      <c r="E92" s="185"/>
      <c r="F92" s="188" t="s">
        <v>155</v>
      </c>
      <c r="G92" s="740">
        <f>SUM(G91)</f>
        <v>21.135400000000001</v>
      </c>
      <c r="H92" s="740"/>
    </row>
    <row r="93" spans="1:8">
      <c r="A93" s="10"/>
      <c r="B93" s="10"/>
      <c r="C93" s="12"/>
      <c r="D93" s="12"/>
      <c r="E93" s="12"/>
      <c r="F93" s="184" t="s">
        <v>156</v>
      </c>
      <c r="G93" s="749">
        <f>G92+H89</f>
        <v>367.32586600000002</v>
      </c>
      <c r="H93" s="750"/>
    </row>
    <row r="94" spans="1:8">
      <c r="C94" s="185"/>
      <c r="D94" s="185"/>
      <c r="E94" s="185"/>
      <c r="F94" s="188" t="s">
        <v>166</v>
      </c>
      <c r="G94" s="187"/>
      <c r="H94" s="186">
        <f>G93/F82</f>
        <v>3.245501555045061</v>
      </c>
    </row>
    <row r="95" spans="1:8">
      <c r="C95" s="185"/>
      <c r="D95" s="185"/>
      <c r="E95" s="185"/>
      <c r="F95" s="188" t="s">
        <v>170</v>
      </c>
      <c r="G95" s="187"/>
      <c r="H95" s="186">
        <v>5.2200000000000003E-2</v>
      </c>
    </row>
    <row r="96" spans="1:8">
      <c r="A96" s="25" t="s">
        <v>153</v>
      </c>
      <c r="B96" s="25"/>
      <c r="C96" s="183" t="s">
        <v>4</v>
      </c>
      <c r="D96" s="183" t="s">
        <v>3</v>
      </c>
      <c r="E96" s="735" t="s">
        <v>244</v>
      </c>
      <c r="F96" s="735"/>
      <c r="G96" s="747" t="s">
        <v>144</v>
      </c>
      <c r="H96" s="747"/>
    </row>
    <row r="97" spans="1:8" s="211" customFormat="1">
      <c r="A97" s="214">
        <v>6416040</v>
      </c>
      <c r="B97" s="211" t="s">
        <v>253</v>
      </c>
      <c r="C97" s="209">
        <v>1.4</v>
      </c>
      <c r="D97" s="213" t="s">
        <v>14</v>
      </c>
      <c r="E97" s="741" t="e">
        <f>#REF!</f>
        <v>#REF!</v>
      </c>
      <c r="F97" s="741"/>
      <c r="G97" s="742" t="e">
        <f>C97*E97</f>
        <v>#REF!</v>
      </c>
      <c r="H97" s="742"/>
    </row>
    <row r="98" spans="1:8">
      <c r="A98" s="10"/>
      <c r="B98" s="10"/>
      <c r="C98" s="12"/>
      <c r="D98" s="12"/>
      <c r="E98" s="12"/>
      <c r="F98" s="184" t="s">
        <v>154</v>
      </c>
      <c r="G98" s="749" t="e">
        <f>SUM(G97)</f>
        <v>#REF!</v>
      </c>
      <c r="H98" s="749"/>
    </row>
    <row r="99" spans="1:8">
      <c r="C99" s="185"/>
      <c r="D99" s="185"/>
      <c r="E99" s="185"/>
      <c r="F99" s="185"/>
      <c r="G99" s="185" t="s">
        <v>165</v>
      </c>
      <c r="H99" s="91" t="e">
        <f>G98+H94+H95</f>
        <v>#REF!</v>
      </c>
    </row>
    <row r="100" spans="1:8">
      <c r="A100" s="25" t="s">
        <v>158</v>
      </c>
      <c r="B100" s="25"/>
      <c r="C100" s="183" t="s">
        <v>4</v>
      </c>
      <c r="D100" s="183" t="s">
        <v>3</v>
      </c>
      <c r="E100" s="735" t="s">
        <v>142</v>
      </c>
      <c r="F100" s="735"/>
      <c r="G100" s="747" t="s">
        <v>144</v>
      </c>
      <c r="H100" s="747"/>
    </row>
    <row r="101" spans="1:8">
      <c r="A101" s="10"/>
      <c r="B101" s="10"/>
      <c r="C101" s="12"/>
      <c r="D101" s="12"/>
      <c r="E101" s="12"/>
      <c r="F101" s="184" t="s">
        <v>251</v>
      </c>
      <c r="G101" s="748">
        <v>0</v>
      </c>
      <c r="H101" s="748"/>
    </row>
    <row r="102" spans="1:8">
      <c r="A102" s="10"/>
      <c r="B102" s="10"/>
      <c r="C102" s="12"/>
      <c r="D102" s="12"/>
      <c r="E102" s="12"/>
      <c r="F102" s="184" t="s">
        <v>252</v>
      </c>
      <c r="G102" s="749">
        <f>SUM(G101)</f>
        <v>0</v>
      </c>
      <c r="H102" s="750"/>
    </row>
    <row r="103" spans="1:8">
      <c r="C103" s="185"/>
      <c r="D103" s="185"/>
      <c r="E103" s="185"/>
      <c r="F103" s="188"/>
      <c r="G103" s="187"/>
      <c r="H103" s="186"/>
    </row>
    <row r="104" spans="1:8">
      <c r="A104" s="25" t="s">
        <v>160</v>
      </c>
      <c r="B104" s="25"/>
      <c r="C104" s="183" t="s">
        <v>161</v>
      </c>
      <c r="D104" s="183" t="s">
        <v>4</v>
      </c>
      <c r="E104" s="183" t="s">
        <v>3</v>
      </c>
      <c r="F104" s="735" t="s">
        <v>162</v>
      </c>
      <c r="G104" s="735"/>
      <c r="H104" s="189" t="s">
        <v>162</v>
      </c>
    </row>
    <row r="105" spans="1:8">
      <c r="A105" s="96"/>
      <c r="B105" s="99"/>
      <c r="C105" s="182"/>
      <c r="D105" s="174"/>
      <c r="E105" s="182"/>
      <c r="F105" s="743"/>
      <c r="G105" s="743"/>
      <c r="H105" s="100"/>
    </row>
    <row r="106" spans="1:8">
      <c r="C106" s="185"/>
      <c r="D106" s="185"/>
      <c r="E106" s="185"/>
      <c r="F106" s="185"/>
      <c r="G106" s="188" t="s">
        <v>163</v>
      </c>
      <c r="H106" s="89">
        <f>SUM(H105:H105)</f>
        <v>0</v>
      </c>
    </row>
    <row r="107" spans="1:8">
      <c r="A107" s="731" t="s">
        <v>236</v>
      </c>
      <c r="B107" s="731"/>
      <c r="C107" s="733" t="s">
        <v>4</v>
      </c>
      <c r="D107" s="733" t="s">
        <v>3</v>
      </c>
      <c r="E107" s="735" t="s">
        <v>237</v>
      </c>
      <c r="F107" s="735"/>
      <c r="G107" s="735"/>
      <c r="H107" s="736" t="s">
        <v>162</v>
      </c>
    </row>
    <row r="108" spans="1:8">
      <c r="A108" s="732"/>
      <c r="B108" s="732"/>
      <c r="C108" s="734"/>
      <c r="D108" s="734"/>
      <c r="E108" s="12" t="s">
        <v>238</v>
      </c>
      <c r="F108" s="12" t="s">
        <v>239</v>
      </c>
      <c r="G108" s="12" t="s">
        <v>240</v>
      </c>
      <c r="H108" s="737"/>
    </row>
    <row r="109" spans="1:8">
      <c r="A109" s="7"/>
      <c r="B109" s="7"/>
      <c r="C109" s="93"/>
      <c r="D109" s="185"/>
      <c r="E109" s="738"/>
      <c r="F109" s="738"/>
      <c r="G109" s="171"/>
      <c r="H109" s="176"/>
    </row>
    <row r="110" spans="1:8">
      <c r="A110" s="10"/>
      <c r="B110" s="10"/>
      <c r="C110" s="12"/>
      <c r="D110" s="12"/>
      <c r="E110" s="12"/>
      <c r="F110" s="12"/>
      <c r="G110" s="184" t="s">
        <v>242</v>
      </c>
      <c r="H110" s="177">
        <f>SUM(H109:H109)</f>
        <v>0</v>
      </c>
    </row>
    <row r="111" spans="1:8">
      <c r="A111" s="10"/>
      <c r="B111" s="10"/>
      <c r="C111" s="12"/>
      <c r="D111" s="12"/>
      <c r="E111" s="12"/>
      <c r="F111" s="12"/>
      <c r="G111" s="184" t="s">
        <v>164</v>
      </c>
      <c r="H111" s="181" t="e">
        <f>H99</f>
        <v>#REF!</v>
      </c>
    </row>
    <row r="112" spans="1:8" hidden="1">
      <c r="A112" t="s">
        <v>148</v>
      </c>
      <c r="C112" s="1" t="s">
        <v>150</v>
      </c>
      <c r="H112" s="220" t="s">
        <v>336</v>
      </c>
    </row>
    <row r="113" spans="1:8" hidden="1">
      <c r="A113" t="s">
        <v>149</v>
      </c>
      <c r="C113" s="92">
        <v>44105</v>
      </c>
      <c r="E113" s="90" t="s">
        <v>151</v>
      </c>
      <c r="F113" s="172">
        <v>84.66</v>
      </c>
      <c r="G113" s="16" t="s">
        <v>133</v>
      </c>
    </row>
    <row r="114" spans="1:8" hidden="1">
      <c r="A114" s="5">
        <v>6416213</v>
      </c>
      <c r="B114" s="5" t="s">
        <v>329</v>
      </c>
      <c r="H114" s="90" t="s">
        <v>152</v>
      </c>
    </row>
    <row r="115" spans="1:8" hidden="1">
      <c r="A115" s="731" t="s">
        <v>134</v>
      </c>
      <c r="B115" s="731"/>
      <c r="C115" s="744" t="s">
        <v>4</v>
      </c>
      <c r="D115" s="746" t="s">
        <v>141</v>
      </c>
      <c r="E115" s="746"/>
      <c r="F115" s="746" t="s">
        <v>142</v>
      </c>
      <c r="G115" s="746"/>
      <c r="H115" s="744" t="s">
        <v>144</v>
      </c>
    </row>
    <row r="116" spans="1:8" hidden="1">
      <c r="A116" s="732"/>
      <c r="B116" s="732"/>
      <c r="C116" s="745"/>
      <c r="D116" s="12" t="s">
        <v>137</v>
      </c>
      <c r="E116" s="12" t="s">
        <v>138</v>
      </c>
      <c r="F116" s="12" t="s">
        <v>139</v>
      </c>
      <c r="G116" s="12" t="s">
        <v>140</v>
      </c>
      <c r="H116" s="745"/>
    </row>
    <row r="117" spans="1:8" hidden="1">
      <c r="A117" t="s">
        <v>218</v>
      </c>
      <c r="B117" t="s">
        <v>135</v>
      </c>
      <c r="C117" s="93">
        <v>1</v>
      </c>
      <c r="D117" s="171">
        <v>1</v>
      </c>
      <c r="E117" s="171">
        <v>0</v>
      </c>
      <c r="F117" s="200">
        <v>35.933799999999998</v>
      </c>
      <c r="G117" s="200">
        <v>18.839099999999998</v>
      </c>
      <c r="H117" s="89">
        <f>C117*D117*F117+E117*G117</f>
        <v>35.933799999999998</v>
      </c>
    </row>
    <row r="118" spans="1:8" hidden="1">
      <c r="A118" t="s">
        <v>219</v>
      </c>
      <c r="B118" t="s">
        <v>318</v>
      </c>
      <c r="C118" s="93">
        <v>1</v>
      </c>
      <c r="D118" s="171">
        <v>0.68</v>
      </c>
      <c r="E118" s="171">
        <v>0.32</v>
      </c>
      <c r="F118" s="200">
        <v>111.4147</v>
      </c>
      <c r="G118" s="200">
        <v>56.344200000000001</v>
      </c>
      <c r="H118" s="89">
        <f>C118*D118*F118+E118*G118</f>
        <v>93.792139999999989</v>
      </c>
    </row>
    <row r="119" spans="1:8" hidden="1">
      <c r="A119" t="s">
        <v>220</v>
      </c>
      <c r="B119" t="s">
        <v>136</v>
      </c>
      <c r="C119" s="93">
        <v>1</v>
      </c>
      <c r="D119" s="171">
        <v>1</v>
      </c>
      <c r="E119" s="171">
        <v>0</v>
      </c>
      <c r="F119" s="200">
        <v>227.08359999999999</v>
      </c>
      <c r="G119" s="200">
        <v>10.2835</v>
      </c>
      <c r="H119" s="89">
        <f>C119*D119*F119+E119*G119</f>
        <v>227.08359999999999</v>
      </c>
    </row>
    <row r="120" spans="1:8" hidden="1">
      <c r="A120" t="s">
        <v>317</v>
      </c>
      <c r="B120" t="s">
        <v>319</v>
      </c>
      <c r="C120" s="93">
        <v>2</v>
      </c>
      <c r="D120" s="171">
        <v>1</v>
      </c>
      <c r="E120" s="171">
        <v>0</v>
      </c>
      <c r="F120" s="200">
        <v>17.8399</v>
      </c>
      <c r="G120" s="200">
        <v>11.3331</v>
      </c>
      <c r="H120" s="89">
        <f>C120*D120*F120+E120*G120</f>
        <v>35.6798</v>
      </c>
    </row>
    <row r="121" spans="1:8" hidden="1">
      <c r="A121" t="s">
        <v>221</v>
      </c>
      <c r="B121" t="s">
        <v>320</v>
      </c>
      <c r="C121" s="93">
        <v>1</v>
      </c>
      <c r="D121" s="171">
        <v>1</v>
      </c>
      <c r="E121" s="171">
        <v>0</v>
      </c>
      <c r="F121" s="200">
        <v>840.28769999999997</v>
      </c>
      <c r="G121" s="200">
        <v>404.66730000000001</v>
      </c>
      <c r="H121" s="89">
        <f>C121*D121*F121+E121*G121</f>
        <v>840.28769999999997</v>
      </c>
    </row>
    <row r="122" spans="1:8" hidden="1">
      <c r="G122" s="90" t="s">
        <v>157</v>
      </c>
      <c r="H122" s="91">
        <f>SUM(H117:H121)</f>
        <v>1232.7770399999999</v>
      </c>
    </row>
    <row r="123" spans="1:8" hidden="1">
      <c r="A123" s="25" t="s">
        <v>143</v>
      </c>
      <c r="B123" s="25"/>
      <c r="C123" s="26" t="s">
        <v>4</v>
      </c>
      <c r="D123" s="26" t="s">
        <v>3</v>
      </c>
      <c r="E123" s="735" t="s">
        <v>142</v>
      </c>
      <c r="F123" s="735"/>
      <c r="G123" s="747" t="s">
        <v>144</v>
      </c>
      <c r="H123" s="747"/>
    </row>
    <row r="124" spans="1:8" hidden="1">
      <c r="A124" t="s">
        <v>145</v>
      </c>
      <c r="B124" t="s">
        <v>146</v>
      </c>
      <c r="C124" s="93">
        <v>4</v>
      </c>
      <c r="D124" s="1" t="s">
        <v>147</v>
      </c>
      <c r="E124" s="739">
        <v>17.998999999999999</v>
      </c>
      <c r="F124" s="739"/>
      <c r="G124" s="740">
        <f>C124*E124</f>
        <v>71.995999999999995</v>
      </c>
      <c r="H124" s="740"/>
    </row>
    <row r="125" spans="1:8" hidden="1">
      <c r="F125" s="90" t="s">
        <v>155</v>
      </c>
      <c r="G125" s="740">
        <f>SUM(G124)</f>
        <v>71.995999999999995</v>
      </c>
      <c r="H125" s="740"/>
    </row>
    <row r="126" spans="1:8" hidden="1">
      <c r="A126" s="10"/>
      <c r="B126" s="10"/>
      <c r="C126" s="12"/>
      <c r="D126" s="12"/>
      <c r="E126" s="12"/>
      <c r="F126" s="98" t="s">
        <v>156</v>
      </c>
      <c r="G126" s="749">
        <f>G125+H122</f>
        <v>1304.77304</v>
      </c>
      <c r="H126" s="750"/>
    </row>
    <row r="127" spans="1:8" hidden="1">
      <c r="F127" s="90" t="s">
        <v>166</v>
      </c>
      <c r="G127" s="94"/>
      <c r="H127" s="95">
        <f>G126/F113</f>
        <v>15.411918733758565</v>
      </c>
    </row>
    <row r="128" spans="1:8" hidden="1">
      <c r="F128" s="90" t="s">
        <v>170</v>
      </c>
      <c r="G128" s="94"/>
      <c r="H128" s="95" t="s">
        <v>49</v>
      </c>
    </row>
    <row r="129" spans="1:8" hidden="1">
      <c r="A129" s="25" t="s">
        <v>153</v>
      </c>
      <c r="B129" s="25"/>
      <c r="C129" s="26" t="s">
        <v>4</v>
      </c>
      <c r="D129" s="26" t="s">
        <v>3</v>
      </c>
      <c r="E129" s="735" t="s">
        <v>244</v>
      </c>
      <c r="F129" s="735"/>
      <c r="G129" s="747" t="s">
        <v>144</v>
      </c>
      <c r="H129" s="747"/>
    </row>
    <row r="130" spans="1:8" s="211" customFormat="1" hidden="1">
      <c r="A130" s="208" t="s">
        <v>223</v>
      </c>
      <c r="B130" s="208" t="s">
        <v>228</v>
      </c>
      <c r="C130" s="215">
        <v>6.275E-2</v>
      </c>
      <c r="D130" s="210" t="s">
        <v>14</v>
      </c>
      <c r="E130" s="757" t="e">
        <f>#REF!</f>
        <v>#REF!</v>
      </c>
      <c r="F130" s="757"/>
      <c r="G130" s="753" t="e">
        <f t="shared" ref="G130:G136" si="1">E130*C130</f>
        <v>#REF!</v>
      </c>
      <c r="H130" s="754"/>
    </row>
    <row r="131" spans="1:8" s="211" customFormat="1" hidden="1">
      <c r="A131" s="208" t="s">
        <v>321</v>
      </c>
      <c r="B131" s="208" t="s">
        <v>324</v>
      </c>
      <c r="C131" s="215">
        <v>6.275E-2</v>
      </c>
      <c r="D131" s="210" t="s">
        <v>14</v>
      </c>
      <c r="E131" s="758" t="e">
        <f>#REF!</f>
        <v>#REF!</v>
      </c>
      <c r="F131" s="758"/>
      <c r="G131" s="753" t="e">
        <f t="shared" si="1"/>
        <v>#REF!</v>
      </c>
      <c r="H131" s="754"/>
    </row>
    <row r="132" spans="1:8" s="211" customFormat="1" hidden="1">
      <c r="A132" s="208" t="s">
        <v>322</v>
      </c>
      <c r="B132" s="208" t="s">
        <v>325</v>
      </c>
      <c r="C132" s="215">
        <v>56.47</v>
      </c>
      <c r="D132" s="210" t="s">
        <v>231</v>
      </c>
      <c r="E132" s="760" t="e">
        <f>#REF!/(20)</f>
        <v>#REF!</v>
      </c>
      <c r="F132" s="760"/>
      <c r="G132" s="753" t="e">
        <f t="shared" si="1"/>
        <v>#REF!</v>
      </c>
      <c r="H132" s="754"/>
    </row>
    <row r="133" spans="1:8" hidden="1">
      <c r="A133" s="7" t="s">
        <v>323</v>
      </c>
      <c r="B133" s="7" t="s">
        <v>326</v>
      </c>
      <c r="C133" s="173">
        <v>5.8819999999999997E-2</v>
      </c>
      <c r="D133" s="8" t="s">
        <v>133</v>
      </c>
      <c r="E133" s="761">
        <v>0</v>
      </c>
      <c r="F133" s="761"/>
      <c r="G133" s="762">
        <f t="shared" ref="G133:G134" si="2">E133*C133</f>
        <v>0</v>
      </c>
      <c r="H133" s="740"/>
    </row>
    <row r="134" spans="1:8" hidden="1">
      <c r="A134" t="s">
        <v>226</v>
      </c>
      <c r="B134" t="s">
        <v>229</v>
      </c>
      <c r="C134" s="93">
        <v>14</v>
      </c>
      <c r="D134" s="200" t="s">
        <v>232</v>
      </c>
      <c r="E134" s="751">
        <v>3.7974999999999999</v>
      </c>
      <c r="F134" s="751"/>
      <c r="G134" s="762">
        <f t="shared" si="2"/>
        <v>53.164999999999999</v>
      </c>
      <c r="H134" s="740"/>
    </row>
    <row r="135" spans="1:8" s="219" customFormat="1" hidden="1">
      <c r="A135" s="216" t="s">
        <v>227</v>
      </c>
      <c r="B135" s="216" t="s">
        <v>230</v>
      </c>
      <c r="C135" s="217">
        <v>0.13804</v>
      </c>
      <c r="D135" s="218" t="s">
        <v>14</v>
      </c>
      <c r="E135" s="759" t="e">
        <f>#REF!</f>
        <v>#REF!</v>
      </c>
      <c r="F135" s="759"/>
      <c r="G135" s="755" t="e">
        <f t="shared" si="1"/>
        <v>#REF!</v>
      </c>
      <c r="H135" s="756"/>
    </row>
    <row r="136" spans="1:8" s="211" customFormat="1" hidden="1">
      <c r="A136" s="211" t="s">
        <v>312</v>
      </c>
      <c r="B136" s="211" t="s">
        <v>314</v>
      </c>
      <c r="C136" s="209">
        <v>0.32627</v>
      </c>
      <c r="D136" s="213" t="s">
        <v>14</v>
      </c>
      <c r="E136" s="741" t="e">
        <f>#REF!</f>
        <v>#REF!</v>
      </c>
      <c r="F136" s="741"/>
      <c r="G136" s="753" t="e">
        <f t="shared" si="1"/>
        <v>#REF!</v>
      </c>
      <c r="H136" s="754"/>
    </row>
    <row r="137" spans="1:8" hidden="1">
      <c r="A137" s="10"/>
      <c r="B137" s="10"/>
      <c r="C137" s="12"/>
      <c r="D137" s="12"/>
      <c r="E137" s="12"/>
      <c r="F137" s="165" t="s">
        <v>154</v>
      </c>
      <c r="G137" s="749" t="e">
        <f>SUM(G130:H136)</f>
        <v>#REF!</v>
      </c>
      <c r="H137" s="749"/>
    </row>
    <row r="138" spans="1:8" hidden="1">
      <c r="G138" s="1" t="s">
        <v>165</v>
      </c>
      <c r="H138" s="91" t="e">
        <f>G137+H127</f>
        <v>#REF!</v>
      </c>
    </row>
    <row r="139" spans="1:8" hidden="1">
      <c r="A139" s="25" t="s">
        <v>160</v>
      </c>
      <c r="B139" s="25"/>
      <c r="C139" s="26" t="s">
        <v>161</v>
      </c>
      <c r="D139" s="26" t="s">
        <v>4</v>
      </c>
      <c r="E139" s="26" t="s">
        <v>3</v>
      </c>
      <c r="F139" s="735" t="s">
        <v>162</v>
      </c>
      <c r="G139" s="735"/>
      <c r="H139" s="179" t="s">
        <v>162</v>
      </c>
    </row>
    <row r="140" spans="1:8" hidden="1">
      <c r="A140" s="96" t="s">
        <v>223</v>
      </c>
      <c r="B140" s="99" t="s">
        <v>234</v>
      </c>
      <c r="C140" s="170">
        <v>5914647</v>
      </c>
      <c r="D140" s="174">
        <v>9.4130000000000005E-2</v>
      </c>
      <c r="E140" s="97" t="s">
        <v>133</v>
      </c>
      <c r="F140" s="743">
        <v>0.88</v>
      </c>
      <c r="G140" s="743"/>
      <c r="H140" s="100">
        <f>D140*F140</f>
        <v>8.2834400000000002E-2</v>
      </c>
    </row>
    <row r="141" spans="1:8" hidden="1">
      <c r="A141" s="96" t="s">
        <v>321</v>
      </c>
      <c r="B141" s="99" t="s">
        <v>327</v>
      </c>
      <c r="C141" s="203">
        <v>5914647</v>
      </c>
      <c r="D141" s="174">
        <v>9.4130000000000005E-2</v>
      </c>
      <c r="E141" s="203" t="s">
        <v>133</v>
      </c>
      <c r="F141" s="743">
        <v>0.88</v>
      </c>
      <c r="G141" s="743"/>
      <c r="H141" s="100">
        <f>D141*F141</f>
        <v>8.2834400000000002E-2</v>
      </c>
    </row>
    <row r="142" spans="1:8" hidden="1">
      <c r="A142" s="96" t="s">
        <v>322</v>
      </c>
      <c r="B142" s="99" t="s">
        <v>328</v>
      </c>
      <c r="C142" s="170">
        <v>5914647</v>
      </c>
      <c r="D142" s="174">
        <v>5.6469999999999999E-2</v>
      </c>
      <c r="E142" s="170" t="s">
        <v>133</v>
      </c>
      <c r="F142" s="743">
        <v>9.75</v>
      </c>
      <c r="G142" s="743"/>
      <c r="H142" s="100">
        <f>D142*F142</f>
        <v>0.55058249999999997</v>
      </c>
    </row>
    <row r="143" spans="1:8" hidden="1">
      <c r="A143" s="96" t="s">
        <v>227</v>
      </c>
      <c r="B143" s="99" t="s">
        <v>235</v>
      </c>
      <c r="C143" s="170">
        <v>5914655</v>
      </c>
      <c r="D143" s="174">
        <v>0.20705999999999999</v>
      </c>
      <c r="E143" s="170" t="s">
        <v>133</v>
      </c>
      <c r="F143" s="743">
        <v>0.88</v>
      </c>
      <c r="G143" s="743"/>
      <c r="H143" s="100">
        <f>D143*F143</f>
        <v>0.18221280000000001</v>
      </c>
    </row>
    <row r="144" spans="1:8" hidden="1">
      <c r="A144" s="96" t="s">
        <v>312</v>
      </c>
      <c r="B144" s="99" t="s">
        <v>316</v>
      </c>
      <c r="C144" s="170">
        <v>5914647</v>
      </c>
      <c r="D144" s="174">
        <v>0.48941000000000001</v>
      </c>
      <c r="E144" s="170" t="s">
        <v>133</v>
      </c>
      <c r="F144" s="743">
        <v>0.88</v>
      </c>
      <c r="G144" s="743"/>
      <c r="H144" s="100">
        <f>D144*F144</f>
        <v>0.43068080000000003</v>
      </c>
    </row>
    <row r="145" spans="1:10" hidden="1">
      <c r="G145" s="90" t="s">
        <v>163</v>
      </c>
      <c r="H145" s="89">
        <f>SUM(H140:H144)</f>
        <v>1.3291449</v>
      </c>
    </row>
    <row r="146" spans="1:10" hidden="1">
      <c r="A146" s="731" t="s">
        <v>236</v>
      </c>
      <c r="B146" s="731"/>
      <c r="C146" s="733" t="s">
        <v>4</v>
      </c>
      <c r="D146" s="733" t="s">
        <v>3</v>
      </c>
      <c r="E146" s="735" t="s">
        <v>237</v>
      </c>
      <c r="F146" s="735"/>
      <c r="G146" s="735"/>
      <c r="H146" s="736" t="s">
        <v>162</v>
      </c>
    </row>
    <row r="147" spans="1:10" hidden="1">
      <c r="A147" s="732"/>
      <c r="B147" s="732"/>
      <c r="C147" s="734"/>
      <c r="D147" s="734"/>
      <c r="E147" s="12" t="s">
        <v>238</v>
      </c>
      <c r="F147" s="12" t="s">
        <v>239</v>
      </c>
      <c r="G147" s="12" t="s">
        <v>240</v>
      </c>
      <c r="H147" s="737"/>
    </row>
    <row r="148" spans="1:10" hidden="1">
      <c r="A148" t="s">
        <v>222</v>
      </c>
      <c r="B148" t="s">
        <v>233</v>
      </c>
      <c r="C148" s="93">
        <v>0.49056</v>
      </c>
      <c r="D148" s="169" t="s">
        <v>241</v>
      </c>
      <c r="E148" s="733"/>
      <c r="F148" s="733"/>
      <c r="G148" s="169"/>
      <c r="H148" s="176">
        <f>C148*G148*1.48*30</f>
        <v>0</v>
      </c>
      <c r="I148">
        <v>1480</v>
      </c>
      <c r="J148" t="s">
        <v>246</v>
      </c>
    </row>
    <row r="149" spans="1:10" hidden="1">
      <c r="A149" t="s">
        <v>223</v>
      </c>
      <c r="B149" t="s">
        <v>234</v>
      </c>
      <c r="C149" s="93">
        <v>0.18869</v>
      </c>
      <c r="D149" s="169" t="s">
        <v>241</v>
      </c>
      <c r="E149" s="738"/>
      <c r="F149" s="738"/>
      <c r="G149" s="169"/>
      <c r="H149" s="176">
        <f>C149*G149*1.2*30</f>
        <v>0</v>
      </c>
      <c r="I149">
        <v>1200</v>
      </c>
      <c r="J149" t="s">
        <v>246</v>
      </c>
    </row>
    <row r="150" spans="1:10" hidden="1">
      <c r="A150" t="s">
        <v>224</v>
      </c>
      <c r="B150" t="s">
        <v>247</v>
      </c>
      <c r="C150" s="93">
        <v>5.6599999999999998E-2</v>
      </c>
      <c r="D150" s="169" t="s">
        <v>241</v>
      </c>
      <c r="E150" s="738"/>
      <c r="F150" s="738"/>
      <c r="G150" s="169"/>
      <c r="H150" s="176">
        <f>C150*G150*1.7*30</f>
        <v>0</v>
      </c>
      <c r="I150">
        <v>1700</v>
      </c>
      <c r="J150" t="s">
        <v>246</v>
      </c>
    </row>
    <row r="151" spans="1:10" hidden="1">
      <c r="A151" t="s">
        <v>227</v>
      </c>
      <c r="B151" t="s">
        <v>235</v>
      </c>
      <c r="C151" s="93">
        <v>0.20754</v>
      </c>
      <c r="D151" s="169" t="s">
        <v>241</v>
      </c>
      <c r="E151" s="738"/>
      <c r="F151" s="738"/>
      <c r="G151" s="169"/>
      <c r="H151" s="176">
        <f>C151*G151*1.48*30</f>
        <v>0</v>
      </c>
      <c r="I151">
        <v>1480</v>
      </c>
      <c r="J151" t="s">
        <v>246</v>
      </c>
    </row>
    <row r="152" spans="1:10" hidden="1">
      <c r="A152" s="7" t="s">
        <v>225</v>
      </c>
      <c r="B152" s="7" t="s">
        <v>248</v>
      </c>
      <c r="C152" s="93">
        <f>1-SUM(C148:C151)</f>
        <v>5.6610000000000049E-2</v>
      </c>
      <c r="D152" s="169" t="s">
        <v>241</v>
      </c>
      <c r="E152" s="738"/>
      <c r="F152" s="738"/>
      <c r="G152" s="171"/>
      <c r="H152" s="176">
        <v>0</v>
      </c>
      <c r="I152">
        <v>2500</v>
      </c>
      <c r="J152" t="s">
        <v>246</v>
      </c>
    </row>
    <row r="153" spans="1:10" hidden="1">
      <c r="A153" s="10"/>
      <c r="B153" s="10"/>
      <c r="C153" s="12"/>
      <c r="D153" s="12"/>
      <c r="E153" s="12"/>
      <c r="F153" s="12"/>
      <c r="G153" s="165" t="s">
        <v>242</v>
      </c>
      <c r="H153" s="177">
        <f>SUM(H148:H152)</f>
        <v>0</v>
      </c>
    </row>
    <row r="154" spans="1:10" hidden="1">
      <c r="A154" s="10"/>
      <c r="B154" s="10"/>
      <c r="C154" s="12"/>
      <c r="D154" s="12"/>
      <c r="E154" s="12"/>
      <c r="F154" s="12"/>
      <c r="G154" s="165" t="s">
        <v>164</v>
      </c>
      <c r="H154" s="181" t="e">
        <f>H145+H138+H153</f>
        <v>#REF!</v>
      </c>
    </row>
    <row r="155" spans="1:10" hidden="1">
      <c r="A155" t="s">
        <v>148</v>
      </c>
      <c r="C155" s="169" t="s">
        <v>150</v>
      </c>
      <c r="D155" s="169"/>
      <c r="E155" s="169"/>
      <c r="F155" s="169"/>
      <c r="G155" s="169"/>
      <c r="H155" s="220" t="s">
        <v>335</v>
      </c>
    </row>
    <row r="156" spans="1:10" hidden="1">
      <c r="A156" t="s">
        <v>149</v>
      </c>
      <c r="C156" s="92">
        <v>43831</v>
      </c>
      <c r="D156" s="169"/>
      <c r="E156" s="168" t="s">
        <v>151</v>
      </c>
      <c r="F156" s="172">
        <v>84.66</v>
      </c>
      <c r="G156" s="16" t="s">
        <v>133</v>
      </c>
    </row>
    <row r="157" spans="1:10" hidden="1">
      <c r="A157" s="5">
        <v>4011471</v>
      </c>
      <c r="B157" s="5" t="s">
        <v>330</v>
      </c>
      <c r="C157" s="169"/>
      <c r="D157" s="169"/>
      <c r="E157" s="169"/>
      <c r="F157" s="169"/>
      <c r="G157" s="169"/>
      <c r="H157" s="168" t="s">
        <v>152</v>
      </c>
    </row>
    <row r="158" spans="1:10" hidden="1">
      <c r="A158" s="731" t="s">
        <v>134</v>
      </c>
      <c r="B158" s="731"/>
      <c r="C158" s="744" t="s">
        <v>4</v>
      </c>
      <c r="D158" s="746" t="s">
        <v>141</v>
      </c>
      <c r="E158" s="746"/>
      <c r="F158" s="746" t="s">
        <v>142</v>
      </c>
      <c r="G158" s="746"/>
      <c r="H158" s="744" t="s">
        <v>144</v>
      </c>
    </row>
    <row r="159" spans="1:10" hidden="1">
      <c r="A159" s="732"/>
      <c r="B159" s="732"/>
      <c r="C159" s="745"/>
      <c r="D159" s="12" t="s">
        <v>137</v>
      </c>
      <c r="E159" s="12" t="s">
        <v>138</v>
      </c>
      <c r="F159" s="12" t="s">
        <v>139</v>
      </c>
      <c r="G159" s="12" t="s">
        <v>140</v>
      </c>
      <c r="H159" s="745"/>
    </row>
    <row r="160" spans="1:10" hidden="1">
      <c r="A160" t="s">
        <v>167</v>
      </c>
      <c r="B160" t="s">
        <v>186</v>
      </c>
      <c r="C160" s="93">
        <v>1</v>
      </c>
      <c r="D160" s="171">
        <v>0.6</v>
      </c>
      <c r="E160" s="171">
        <v>0.4</v>
      </c>
      <c r="F160" s="200">
        <v>131.04570000000001</v>
      </c>
      <c r="G160" s="200">
        <v>63.359900000000003</v>
      </c>
      <c r="H160" s="89">
        <f>C160*D160*F160+E160*G160</f>
        <v>103.97138000000001</v>
      </c>
    </row>
    <row r="161" spans="1:8" hidden="1">
      <c r="A161" t="s">
        <v>331</v>
      </c>
      <c r="B161" t="s">
        <v>332</v>
      </c>
      <c r="C161" s="93">
        <v>1</v>
      </c>
      <c r="D161" s="171">
        <v>0.69</v>
      </c>
      <c r="E161" s="171">
        <v>0.31</v>
      </c>
      <c r="F161" s="200">
        <v>158.51349999999999</v>
      </c>
      <c r="G161" s="200">
        <v>60.195999999999998</v>
      </c>
      <c r="H161" s="89">
        <f>C161*D161*F161+E161*G161</f>
        <v>128.03507499999998</v>
      </c>
    </row>
    <row r="162" spans="1:8" hidden="1">
      <c r="A162" t="s">
        <v>169</v>
      </c>
      <c r="B162" t="s">
        <v>187</v>
      </c>
      <c r="C162" s="93">
        <v>1</v>
      </c>
      <c r="D162" s="171">
        <v>1</v>
      </c>
      <c r="E162" s="171">
        <v>0</v>
      </c>
      <c r="F162" s="200">
        <v>164.47130000000001</v>
      </c>
      <c r="G162" s="200">
        <v>72.944400000000002</v>
      </c>
      <c r="H162" s="89">
        <f>C162*D162*F162+E162*G162</f>
        <v>164.47130000000001</v>
      </c>
    </row>
    <row r="163" spans="1:8" hidden="1">
      <c r="C163" s="169"/>
      <c r="D163" s="169"/>
      <c r="E163" s="169"/>
      <c r="F163" s="169"/>
      <c r="G163" s="168" t="s">
        <v>157</v>
      </c>
      <c r="H163" s="91">
        <f>SUM(H160:H162)</f>
        <v>396.477755</v>
      </c>
    </row>
    <row r="164" spans="1:8" hidden="1">
      <c r="C164" s="169"/>
      <c r="D164" s="169"/>
      <c r="E164" s="169"/>
      <c r="F164" s="169"/>
      <c r="G164" s="169"/>
    </row>
    <row r="165" spans="1:8" hidden="1">
      <c r="A165" s="25" t="s">
        <v>143</v>
      </c>
      <c r="B165" s="25"/>
      <c r="C165" s="164" t="s">
        <v>4</v>
      </c>
      <c r="D165" s="164" t="s">
        <v>3</v>
      </c>
      <c r="E165" s="735" t="s">
        <v>142</v>
      </c>
      <c r="F165" s="735"/>
      <c r="G165" s="735" t="s">
        <v>144</v>
      </c>
      <c r="H165" s="735"/>
    </row>
    <row r="166" spans="1:8" hidden="1">
      <c r="A166" t="s">
        <v>145</v>
      </c>
      <c r="B166" t="s">
        <v>146</v>
      </c>
      <c r="C166" s="93">
        <v>8</v>
      </c>
      <c r="D166" s="169" t="s">
        <v>147</v>
      </c>
      <c r="E166" s="751">
        <v>17.998999999999999</v>
      </c>
      <c r="F166" s="751"/>
      <c r="G166" s="752">
        <f>C166*E166</f>
        <v>143.99199999999999</v>
      </c>
      <c r="H166" s="752"/>
    </row>
    <row r="167" spans="1:8" hidden="1">
      <c r="C167" s="169"/>
      <c r="D167" s="169"/>
      <c r="E167" s="169"/>
      <c r="F167" s="168" t="s">
        <v>155</v>
      </c>
      <c r="G167" s="752">
        <f>SUM(G166)</f>
        <v>143.99199999999999</v>
      </c>
      <c r="H167" s="752"/>
    </row>
    <row r="168" spans="1:8" hidden="1">
      <c r="A168" s="10"/>
      <c r="B168" s="10"/>
      <c r="C168" s="12"/>
      <c r="D168" s="12"/>
      <c r="E168" s="12"/>
      <c r="F168" s="165" t="s">
        <v>156</v>
      </c>
      <c r="G168" s="749">
        <f>G167+H163</f>
        <v>540.46975499999996</v>
      </c>
      <c r="H168" s="750"/>
    </row>
    <row r="169" spans="1:8" hidden="1">
      <c r="C169" s="169"/>
      <c r="D169" s="169"/>
      <c r="E169" s="169"/>
      <c r="F169" s="168" t="s">
        <v>166</v>
      </c>
      <c r="G169" s="167"/>
      <c r="H169" s="166">
        <f>G168/F156</f>
        <v>6.3840037207654143</v>
      </c>
    </row>
    <row r="170" spans="1:8" hidden="1">
      <c r="C170" s="169"/>
      <c r="D170" s="169"/>
      <c r="E170" s="169"/>
      <c r="F170" s="168" t="s">
        <v>170</v>
      </c>
      <c r="G170" s="167"/>
      <c r="H170" s="166">
        <v>4.19E-2</v>
      </c>
    </row>
    <row r="171" spans="1:8" hidden="1">
      <c r="C171" s="169"/>
      <c r="D171" s="169"/>
      <c r="E171" s="169"/>
      <c r="F171" s="169"/>
      <c r="G171" s="169"/>
    </row>
    <row r="172" spans="1:8" hidden="1">
      <c r="A172" s="25" t="s">
        <v>153</v>
      </c>
      <c r="B172" s="25"/>
      <c r="C172" s="164" t="s">
        <v>4</v>
      </c>
      <c r="D172" s="164" t="s">
        <v>3</v>
      </c>
      <c r="E172" s="735" t="s">
        <v>142</v>
      </c>
      <c r="F172" s="735"/>
      <c r="G172" s="735" t="s">
        <v>144</v>
      </c>
      <c r="H172" s="735"/>
    </row>
    <row r="173" spans="1:8" hidden="1">
      <c r="C173" s="169"/>
      <c r="D173" s="169"/>
      <c r="E173" s="169"/>
      <c r="F173" s="168" t="s">
        <v>154</v>
      </c>
      <c r="G173" s="762"/>
      <c r="H173" s="740"/>
    </row>
    <row r="174" spans="1:8" hidden="1">
      <c r="C174" s="169"/>
      <c r="D174" s="169"/>
      <c r="E174" s="169"/>
      <c r="F174" s="169"/>
      <c r="G174" s="169"/>
    </row>
    <row r="175" spans="1:8" hidden="1">
      <c r="A175" s="25" t="s">
        <v>158</v>
      </c>
      <c r="B175" s="25"/>
      <c r="C175" s="164" t="s">
        <v>4</v>
      </c>
      <c r="D175" s="164" t="s">
        <v>3</v>
      </c>
      <c r="E175" s="735" t="s">
        <v>142</v>
      </c>
      <c r="F175" s="735"/>
      <c r="G175" s="735" t="s">
        <v>144</v>
      </c>
      <c r="H175" s="735"/>
    </row>
    <row r="176" spans="1:8" hidden="1">
      <c r="A176">
        <v>6416213</v>
      </c>
      <c r="B176" t="s">
        <v>329</v>
      </c>
      <c r="C176" s="169">
        <v>1.02</v>
      </c>
      <c r="D176" s="169" t="s">
        <v>133</v>
      </c>
      <c r="E176" s="751" t="e">
        <f>H154</f>
        <v>#REF!</v>
      </c>
      <c r="F176" s="739"/>
      <c r="G176" s="752" t="e">
        <f>C176*E176</f>
        <v>#REF!</v>
      </c>
      <c r="H176" s="752"/>
    </row>
    <row r="177" spans="1:8" hidden="1">
      <c r="C177" s="169"/>
      <c r="D177" s="169"/>
      <c r="E177" s="169"/>
      <c r="F177" s="168" t="s">
        <v>159</v>
      </c>
      <c r="G177" s="752" t="e">
        <f>SUM(G176)</f>
        <v>#REF!</v>
      </c>
      <c r="H177" s="752"/>
    </row>
    <row r="178" spans="1:8" hidden="1">
      <c r="C178" s="169"/>
      <c r="D178" s="169"/>
      <c r="E178" s="169"/>
      <c r="F178" s="169"/>
      <c r="G178" s="169" t="s">
        <v>165</v>
      </c>
      <c r="H178" s="91" t="e">
        <f>G177+H170+H169</f>
        <v>#REF!</v>
      </c>
    </row>
    <row r="179" spans="1:8" hidden="1">
      <c r="A179" s="25" t="s">
        <v>160</v>
      </c>
      <c r="B179" s="25"/>
      <c r="C179" s="164" t="s">
        <v>161</v>
      </c>
      <c r="D179" s="164" t="s">
        <v>4</v>
      </c>
      <c r="E179" s="164" t="s">
        <v>3</v>
      </c>
      <c r="F179" s="735" t="s">
        <v>162</v>
      </c>
      <c r="G179" s="735"/>
      <c r="H179" s="25" t="s">
        <v>162</v>
      </c>
    </row>
    <row r="180" spans="1:8" ht="30" hidden="1">
      <c r="A180" s="96">
        <v>6416213</v>
      </c>
      <c r="B180" s="99" t="s">
        <v>333</v>
      </c>
      <c r="C180" s="203">
        <v>5914646</v>
      </c>
      <c r="D180" s="170">
        <v>1.02</v>
      </c>
      <c r="E180" s="170" t="s">
        <v>133</v>
      </c>
      <c r="F180" s="743">
        <v>4.3499999999999996</v>
      </c>
      <c r="G180" s="743"/>
      <c r="H180" s="100">
        <f>D180*F180</f>
        <v>4.4369999999999994</v>
      </c>
    </row>
    <row r="181" spans="1:8" hidden="1">
      <c r="C181" s="169"/>
      <c r="D181" s="169"/>
      <c r="E181" s="169"/>
      <c r="F181" s="169"/>
      <c r="G181" s="168" t="s">
        <v>163</v>
      </c>
      <c r="H181" s="89">
        <f>SUM(H180:H180)</f>
        <v>4.4369999999999994</v>
      </c>
    </row>
    <row r="182" spans="1:8" hidden="1">
      <c r="A182" s="731" t="s">
        <v>236</v>
      </c>
      <c r="B182" s="731"/>
      <c r="C182" s="733" t="s">
        <v>4</v>
      </c>
      <c r="D182" s="733" t="s">
        <v>3</v>
      </c>
      <c r="E182" s="735" t="s">
        <v>237</v>
      </c>
      <c r="F182" s="735"/>
      <c r="G182" s="735"/>
      <c r="H182" s="736" t="s">
        <v>162</v>
      </c>
    </row>
    <row r="183" spans="1:8" hidden="1">
      <c r="A183" s="732"/>
      <c r="B183" s="732"/>
      <c r="C183" s="734"/>
      <c r="D183" s="734"/>
      <c r="E183" s="12" t="s">
        <v>238</v>
      </c>
      <c r="F183" s="12" t="s">
        <v>239</v>
      </c>
      <c r="G183" s="12" t="s">
        <v>240</v>
      </c>
      <c r="H183" s="737"/>
    </row>
    <row r="184" spans="1:8" ht="30" hidden="1">
      <c r="A184" s="96">
        <v>6416213</v>
      </c>
      <c r="B184" s="99" t="s">
        <v>333</v>
      </c>
      <c r="C184" s="174">
        <v>1.02</v>
      </c>
      <c r="D184" s="170" t="s">
        <v>241</v>
      </c>
      <c r="E184" s="733"/>
      <c r="F184" s="733"/>
      <c r="G184" s="170"/>
      <c r="H184" s="180">
        <f>C184*G184/2.5*30</f>
        <v>0</v>
      </c>
    </row>
    <row r="185" spans="1:8" hidden="1">
      <c r="A185" s="10"/>
      <c r="B185" s="10"/>
      <c r="C185" s="12"/>
      <c r="D185" s="12"/>
      <c r="E185" s="12"/>
      <c r="F185" s="12"/>
      <c r="G185" s="165" t="s">
        <v>242</v>
      </c>
      <c r="H185" s="177">
        <f>SUM(H184:H184)</f>
        <v>0</v>
      </c>
    </row>
    <row r="186" spans="1:8" hidden="1">
      <c r="A186" s="10"/>
      <c r="B186" s="10"/>
      <c r="C186" s="12"/>
      <c r="D186" s="12"/>
      <c r="E186" s="12"/>
      <c r="F186" s="12"/>
      <c r="G186" s="165" t="s">
        <v>164</v>
      </c>
      <c r="H186" s="175" t="e">
        <f>H181+H178+H185</f>
        <v>#REF!</v>
      </c>
    </row>
    <row r="187" spans="1:8" hidden="1">
      <c r="C187" s="169"/>
      <c r="D187" s="169"/>
      <c r="E187" s="169"/>
      <c r="F187" s="169"/>
      <c r="G187" s="169"/>
    </row>
    <row r="188" spans="1:8" hidden="1">
      <c r="C188" s="169"/>
      <c r="D188" s="169"/>
      <c r="E188" s="169"/>
      <c r="F188" s="169"/>
      <c r="G188" s="168" t="s">
        <v>164</v>
      </c>
      <c r="H188" s="88" t="e">
        <f>ROUNDUP(H186,2)</f>
        <v>#REF!</v>
      </c>
    </row>
    <row r="189" spans="1:8" hidden="1">
      <c r="C189" s="169"/>
      <c r="D189" s="169"/>
      <c r="E189" s="169"/>
      <c r="F189" s="169"/>
      <c r="G189" s="169"/>
    </row>
    <row r="190" spans="1:8" hidden="1">
      <c r="C190" s="169"/>
      <c r="D190" s="169"/>
      <c r="E190" s="169"/>
      <c r="F190" s="169"/>
      <c r="G190" s="169"/>
    </row>
    <row r="191" spans="1:8" hidden="1">
      <c r="C191" s="169"/>
      <c r="D191" s="169"/>
      <c r="E191" s="169"/>
      <c r="F191" s="169"/>
      <c r="G191" s="169"/>
    </row>
  </sheetData>
  <mergeCells count="167">
    <mergeCell ref="E71:F71"/>
    <mergeCell ref="F66:G66"/>
    <mergeCell ref="G52:H52"/>
    <mergeCell ref="E56:F56"/>
    <mergeCell ref="G56:H56"/>
    <mergeCell ref="G59:H59"/>
    <mergeCell ref="E61:F61"/>
    <mergeCell ref="G61:H61"/>
    <mergeCell ref="G62:H62"/>
    <mergeCell ref="F65:G65"/>
    <mergeCell ref="G63:H63"/>
    <mergeCell ref="F67:G67"/>
    <mergeCell ref="G53:H53"/>
    <mergeCell ref="E57:F57"/>
    <mergeCell ref="G57:H57"/>
    <mergeCell ref="E58:F58"/>
    <mergeCell ref="G58:H58"/>
    <mergeCell ref="A69:B70"/>
    <mergeCell ref="C69:C70"/>
    <mergeCell ref="D69:D70"/>
    <mergeCell ref="E69:G69"/>
    <mergeCell ref="H69:H70"/>
    <mergeCell ref="A44:B45"/>
    <mergeCell ref="C44:C45"/>
    <mergeCell ref="D44:E44"/>
    <mergeCell ref="F44:G44"/>
    <mergeCell ref="H44:H45"/>
    <mergeCell ref="E50:F50"/>
    <mergeCell ref="G50:H50"/>
    <mergeCell ref="G51:H51"/>
    <mergeCell ref="E51:F51"/>
    <mergeCell ref="A84:B85"/>
    <mergeCell ref="A4:B5"/>
    <mergeCell ref="C4:C5"/>
    <mergeCell ref="D4:E4"/>
    <mergeCell ref="F4:G4"/>
    <mergeCell ref="H4:H5"/>
    <mergeCell ref="E8:F8"/>
    <mergeCell ref="G8:H8"/>
    <mergeCell ref="E10:F10"/>
    <mergeCell ref="G11:H11"/>
    <mergeCell ref="G12:H12"/>
    <mergeCell ref="E15:F15"/>
    <mergeCell ref="G15:H15"/>
    <mergeCell ref="E16:F16"/>
    <mergeCell ref="G16:H16"/>
    <mergeCell ref="E17:F17"/>
    <mergeCell ref="G17:H17"/>
    <mergeCell ref="G20:H20"/>
    <mergeCell ref="E22:F22"/>
    <mergeCell ref="G22:H22"/>
    <mergeCell ref="G10:H10"/>
    <mergeCell ref="G24:H24"/>
    <mergeCell ref="G25:H25"/>
    <mergeCell ref="F27:G27"/>
    <mergeCell ref="A115:B116"/>
    <mergeCell ref="C115:C116"/>
    <mergeCell ref="D115:E115"/>
    <mergeCell ref="F115:G115"/>
    <mergeCell ref="G98:H98"/>
    <mergeCell ref="F104:G104"/>
    <mergeCell ref="F105:G105"/>
    <mergeCell ref="G92:H92"/>
    <mergeCell ref="G93:H93"/>
    <mergeCell ref="E96:F96"/>
    <mergeCell ref="G96:H96"/>
    <mergeCell ref="A107:B108"/>
    <mergeCell ref="G126:H126"/>
    <mergeCell ref="E129:F129"/>
    <mergeCell ref="G129:H129"/>
    <mergeCell ref="H115:H116"/>
    <mergeCell ref="E123:F123"/>
    <mergeCell ref="G123:H123"/>
    <mergeCell ref="E124:F124"/>
    <mergeCell ref="G124:H124"/>
    <mergeCell ref="G125:H125"/>
    <mergeCell ref="E136:F136"/>
    <mergeCell ref="G137:H137"/>
    <mergeCell ref="F142:G142"/>
    <mergeCell ref="F143:G143"/>
    <mergeCell ref="F144:G144"/>
    <mergeCell ref="H146:H147"/>
    <mergeCell ref="G175:H175"/>
    <mergeCell ref="G177:H177"/>
    <mergeCell ref="G173:H173"/>
    <mergeCell ref="D158:E158"/>
    <mergeCell ref="F158:G158"/>
    <mergeCell ref="H158:H159"/>
    <mergeCell ref="E166:F166"/>
    <mergeCell ref="G166:H166"/>
    <mergeCell ref="G167:H167"/>
    <mergeCell ref="E165:F165"/>
    <mergeCell ref="G165:H165"/>
    <mergeCell ref="G136:H136"/>
    <mergeCell ref="F139:G139"/>
    <mergeCell ref="F140:G140"/>
    <mergeCell ref="F141:G141"/>
    <mergeCell ref="G130:H130"/>
    <mergeCell ref="G131:H131"/>
    <mergeCell ref="G132:H132"/>
    <mergeCell ref="G135:H135"/>
    <mergeCell ref="E130:F130"/>
    <mergeCell ref="E131:F131"/>
    <mergeCell ref="E135:F135"/>
    <mergeCell ref="E132:F132"/>
    <mergeCell ref="E133:F133"/>
    <mergeCell ref="G133:H133"/>
    <mergeCell ref="E134:F134"/>
    <mergeCell ref="G134:H134"/>
    <mergeCell ref="H182:H183"/>
    <mergeCell ref="E184:F184"/>
    <mergeCell ref="E152:F152"/>
    <mergeCell ref="D146:D147"/>
    <mergeCell ref="C146:C147"/>
    <mergeCell ref="A146:B147"/>
    <mergeCell ref="E146:G146"/>
    <mergeCell ref="E148:F151"/>
    <mergeCell ref="A182:B183"/>
    <mergeCell ref="C182:C183"/>
    <mergeCell ref="D182:D183"/>
    <mergeCell ref="E182:G182"/>
    <mergeCell ref="G168:H168"/>
    <mergeCell ref="E172:F172"/>
    <mergeCell ref="G172:H172"/>
    <mergeCell ref="E175:F175"/>
    <mergeCell ref="E176:F176"/>
    <mergeCell ref="G176:H176"/>
    <mergeCell ref="F179:G179"/>
    <mergeCell ref="F180:G180"/>
    <mergeCell ref="A158:B159"/>
    <mergeCell ref="C158:C159"/>
    <mergeCell ref="C84:C85"/>
    <mergeCell ref="D84:E84"/>
    <mergeCell ref="F84:G84"/>
    <mergeCell ref="H84:H85"/>
    <mergeCell ref="E90:F90"/>
    <mergeCell ref="G90:H90"/>
    <mergeCell ref="E91:F91"/>
    <mergeCell ref="G91:H91"/>
    <mergeCell ref="E109:F109"/>
    <mergeCell ref="E100:F100"/>
    <mergeCell ref="G100:H100"/>
    <mergeCell ref="C107:C108"/>
    <mergeCell ref="D107:D108"/>
    <mergeCell ref="E107:G107"/>
    <mergeCell ref="H107:H108"/>
    <mergeCell ref="E97:F97"/>
    <mergeCell ref="G97:H97"/>
    <mergeCell ref="G101:H101"/>
    <mergeCell ref="G102:H102"/>
    <mergeCell ref="A33:B34"/>
    <mergeCell ref="C33:C34"/>
    <mergeCell ref="D33:D34"/>
    <mergeCell ref="E33:G33"/>
    <mergeCell ref="H33:H34"/>
    <mergeCell ref="E35:F35"/>
    <mergeCell ref="E9:F9"/>
    <mergeCell ref="G9:H9"/>
    <mergeCell ref="E18:F18"/>
    <mergeCell ref="G18:H18"/>
    <mergeCell ref="E19:F19"/>
    <mergeCell ref="G19:H19"/>
    <mergeCell ref="E23:F23"/>
    <mergeCell ref="F28:G28"/>
    <mergeCell ref="F29:G29"/>
    <mergeCell ref="F30:G30"/>
    <mergeCell ref="F31:G31"/>
  </mergeCells>
  <printOptions horizontalCentered="1"/>
  <pageMargins left="0.51181102362204722" right="0.51181102362204722" top="0.78740157480314965" bottom="0.59055118110236227" header="0.31496062992125984" footer="0.31496062992125984"/>
  <pageSetup paperSize="9" scale="80" orientation="landscape" r:id="rId1"/>
  <rowBreaks count="3" manualBreakCount="3">
    <brk id="80" max="7" man="1"/>
    <brk id="111" max="7" man="1"/>
    <brk id="154" max="7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showGridLines="0" view="pageBreakPreview" zoomScaleNormal="85" zoomScaleSheetLayoutView="100" workbookViewId="0">
      <pane ySplit="3" topLeftCell="A4" activePane="bottomLeft" state="frozen"/>
      <selection activeCell="F9" sqref="F9"/>
      <selection pane="bottomLeft" activeCell="F9" sqref="F9"/>
    </sheetView>
  </sheetViews>
  <sheetFormatPr defaultColWidth="9.140625" defaultRowHeight="15"/>
  <cols>
    <col min="1" max="1" width="26.42578125" style="27" customWidth="1"/>
    <col min="2" max="2" width="21.140625" style="27" customWidth="1"/>
    <col min="3" max="3" width="29.28515625" style="27" customWidth="1"/>
    <col min="4" max="4" width="17.42578125" style="27" customWidth="1"/>
    <col min="5" max="5" width="17" style="27" customWidth="1"/>
    <col min="6" max="6" width="24.7109375" style="380" customWidth="1"/>
    <col min="7" max="16384" width="9.140625" style="27"/>
  </cols>
  <sheetData>
    <row r="1" spans="1:9" ht="38.25" customHeight="1">
      <c r="A1" s="765"/>
      <c r="B1" s="765" t="s">
        <v>357</v>
      </c>
      <c r="C1" s="765"/>
      <c r="D1" s="765"/>
      <c r="E1" s="765"/>
      <c r="F1" s="765"/>
    </row>
    <row r="2" spans="1:9">
      <c r="A2" s="765"/>
      <c r="B2" s="766" t="str">
        <f>TRILHA!G2</f>
        <v>PREFEITURA MUNICIPAL DE MARACAJÁ</v>
      </c>
      <c r="C2" s="766"/>
      <c r="D2" s="766" t="str">
        <f>TRILHA!I2</f>
        <v>BAIRRO: GARAJUVA</v>
      </c>
      <c r="E2" s="766"/>
      <c r="F2" s="470" t="str">
        <f>TRILHA!M2</f>
        <v>ESTADO: SANTA CATARINA</v>
      </c>
    </row>
    <row r="3" spans="1:9">
      <c r="A3" s="765"/>
      <c r="B3" s="766" t="str">
        <f>TRILHA!G3</f>
        <v>TRILHA SUSPENSA - PARQUE ECOLÓGICO</v>
      </c>
      <c r="C3" s="766"/>
      <c r="D3" s="767" t="str">
        <f>TRILHA!K2</f>
        <v>MUNICIPIO: MARACAJÁ</v>
      </c>
      <c r="E3" s="766"/>
      <c r="F3" s="283" t="str">
        <f ca="1">TRILHA!M3</f>
        <v>DATA: 07/08/24</v>
      </c>
    </row>
    <row r="4" spans="1:9" ht="12.75" customHeight="1">
      <c r="A4" s="267"/>
      <c r="B4" s="285"/>
      <c r="C4" s="285"/>
      <c r="D4" s="285"/>
      <c r="E4" s="285"/>
      <c r="F4" s="286"/>
    </row>
    <row r="5" spans="1:9">
      <c r="A5" s="360" t="str">
        <f>ORÇAMENTO!B13</f>
        <v>VIGA DE MADEIRA SERRADA, PINUS TRATADO, SEÇÃO RETANGULAR 4 X 15 X 400 CM. ITEM 01 DO PROJETO</v>
      </c>
      <c r="B5" s="360"/>
      <c r="C5" s="360"/>
      <c r="D5" s="360"/>
      <c r="E5" s="360"/>
      <c r="F5" s="361" t="s">
        <v>395</v>
      </c>
    </row>
    <row r="6" spans="1:9">
      <c r="A6" s="376" t="s">
        <v>120</v>
      </c>
      <c r="B6" s="376" t="s">
        <v>121</v>
      </c>
      <c r="C6" s="376" t="s">
        <v>122</v>
      </c>
      <c r="D6" s="376" t="s">
        <v>123</v>
      </c>
      <c r="E6" s="376" t="s">
        <v>124</v>
      </c>
      <c r="F6" s="362" t="s">
        <v>308</v>
      </c>
    </row>
    <row r="7" spans="1:9">
      <c r="A7" s="227" t="s">
        <v>501</v>
      </c>
      <c r="B7" s="227" t="s">
        <v>502</v>
      </c>
      <c r="C7" s="226">
        <v>45495</v>
      </c>
      <c r="D7" s="227" t="s">
        <v>504</v>
      </c>
      <c r="E7" s="227" t="s">
        <v>503</v>
      </c>
      <c r="F7" s="477">
        <v>10</v>
      </c>
    </row>
    <row r="8" spans="1:9">
      <c r="A8" s="227" t="s">
        <v>529</v>
      </c>
      <c r="B8" s="227" t="s">
        <v>522</v>
      </c>
      <c r="C8" s="226">
        <v>45495</v>
      </c>
      <c r="D8" s="227" t="s">
        <v>519</v>
      </c>
      <c r="E8" s="227" t="s">
        <v>523</v>
      </c>
      <c r="F8" s="477">
        <v>9.5</v>
      </c>
      <c r="G8" s="375"/>
    </row>
    <row r="9" spans="1:9" hidden="1">
      <c r="A9" s="227" t="s">
        <v>505</v>
      </c>
      <c r="B9" s="227" t="s">
        <v>506</v>
      </c>
      <c r="C9" s="226">
        <v>45495</v>
      </c>
      <c r="D9" s="227" t="s">
        <v>508</v>
      </c>
      <c r="E9" s="227" t="s">
        <v>507</v>
      </c>
      <c r="F9" s="477"/>
    </row>
    <row r="10" spans="1:9">
      <c r="A10" s="227" t="s">
        <v>510</v>
      </c>
      <c r="B10" s="227" t="s">
        <v>511</v>
      </c>
      <c r="C10" s="226">
        <v>45495</v>
      </c>
      <c r="D10" s="227" t="s">
        <v>520</v>
      </c>
      <c r="E10" s="227" t="s">
        <v>512</v>
      </c>
      <c r="F10" s="477">
        <v>25.08</v>
      </c>
    </row>
    <row r="11" spans="1:9">
      <c r="A11" s="371" t="s">
        <v>125</v>
      </c>
      <c r="B11" s="249">
        <v>45495</v>
      </c>
      <c r="C11" s="372"/>
      <c r="D11" s="764" t="s">
        <v>356</v>
      </c>
      <c r="E11" s="764"/>
      <c r="F11" s="478">
        <f>TRUNC(MEDIAN(F7:F10),2)</f>
        <v>10</v>
      </c>
      <c r="G11" s="373"/>
      <c r="H11" s="373"/>
      <c r="I11" s="374"/>
    </row>
    <row r="12" spans="1:9" ht="12.75" customHeight="1">
      <c r="A12" s="267"/>
      <c r="B12" s="285"/>
      <c r="C12" s="285"/>
      <c r="D12" s="285"/>
      <c r="E12" s="285"/>
      <c r="F12" s="286"/>
    </row>
    <row r="13" spans="1:9">
      <c r="A13" s="360" t="str">
        <f>ORÇAMENTO!B14</f>
        <v>VIGA DE MADEIRA SERRADA, PINUS TRATADO, SEÇÃO RETANGULAR 6 X 12 X 400 CM. ITEM 02 DO PROJETO</v>
      </c>
      <c r="B13" s="360"/>
      <c r="C13" s="360"/>
      <c r="D13" s="360"/>
      <c r="E13" s="360"/>
      <c r="F13" s="361" t="s">
        <v>395</v>
      </c>
    </row>
    <row r="14" spans="1:9">
      <c r="A14" s="376" t="s">
        <v>120</v>
      </c>
      <c r="B14" s="376" t="s">
        <v>121</v>
      </c>
      <c r="C14" s="376" t="s">
        <v>122</v>
      </c>
      <c r="D14" s="376" t="s">
        <v>123</v>
      </c>
      <c r="E14" s="376" t="s">
        <v>124</v>
      </c>
      <c r="F14" s="362" t="s">
        <v>308</v>
      </c>
    </row>
    <row r="15" spans="1:9">
      <c r="A15" s="227" t="str">
        <f t="shared" ref="A15:E18" si="0">A7</f>
        <v>Tramavan</v>
      </c>
      <c r="B15" s="227" t="str">
        <f t="shared" si="0"/>
        <v>80.494.009/0001-64</v>
      </c>
      <c r="C15" s="226">
        <f t="shared" si="0"/>
        <v>45495</v>
      </c>
      <c r="D15" s="227" t="str">
        <f t="shared" si="0"/>
        <v>Vanderlei</v>
      </c>
      <c r="E15" s="227" t="str">
        <f t="shared" si="0"/>
        <v>(48)-99945-8841</v>
      </c>
      <c r="F15" s="477">
        <v>14</v>
      </c>
    </row>
    <row r="16" spans="1:9">
      <c r="A16" s="227" t="str">
        <f t="shared" si="0"/>
        <v>Ponto das Madeiras</v>
      </c>
      <c r="B16" s="227" t="str">
        <f t="shared" si="0"/>
        <v>48.372.763/0001-72</v>
      </c>
      <c r="C16" s="226">
        <f t="shared" si="0"/>
        <v>45495</v>
      </c>
      <c r="D16" s="227" t="str">
        <f t="shared" si="0"/>
        <v>José</v>
      </c>
      <c r="E16" s="227" t="str">
        <f t="shared" si="0"/>
        <v>(48)-99835-0458</v>
      </c>
      <c r="F16" s="377">
        <v>13.5</v>
      </c>
      <c r="G16" s="375"/>
    </row>
    <row r="17" spans="1:9">
      <c r="A17" s="227" t="str">
        <f t="shared" si="0"/>
        <v>Madeireira Dário</v>
      </c>
      <c r="B17" s="227" t="str">
        <f t="shared" si="0"/>
        <v>05.666.942/0001-27</v>
      </c>
      <c r="C17" s="226">
        <f t="shared" si="0"/>
        <v>45495</v>
      </c>
      <c r="D17" s="227" t="str">
        <f t="shared" si="0"/>
        <v>Enio</v>
      </c>
      <c r="E17" s="227" t="str">
        <f t="shared" si="0"/>
        <v>(48)-99926-3212</v>
      </c>
      <c r="F17" s="377">
        <f>TRUNC(75.91/4,2)</f>
        <v>18.97</v>
      </c>
    </row>
    <row r="18" spans="1:9" hidden="1">
      <c r="A18" s="227" t="str">
        <f t="shared" si="0"/>
        <v>Tratasul</v>
      </c>
      <c r="B18" s="227" t="str">
        <f t="shared" si="0"/>
        <v>02.445.862/0001-53</v>
      </c>
      <c r="C18" s="226">
        <f t="shared" si="0"/>
        <v>45495</v>
      </c>
      <c r="D18" s="227" t="str">
        <f t="shared" si="0"/>
        <v>Elio Henrique</v>
      </c>
      <c r="E18" s="227" t="str">
        <f t="shared" si="0"/>
        <v>(48)-3526-7724</v>
      </c>
      <c r="F18" s="377"/>
    </row>
    <row r="19" spans="1:9">
      <c r="A19" s="371" t="s">
        <v>125</v>
      </c>
      <c r="B19" s="249">
        <v>45495</v>
      </c>
      <c r="C19" s="372"/>
      <c r="D19" s="764" t="s">
        <v>356</v>
      </c>
      <c r="E19" s="764"/>
      <c r="F19" s="478">
        <f>TRUNC(MEDIAN(F15:F18),2)</f>
        <v>14</v>
      </c>
      <c r="G19" s="373"/>
      <c r="H19" s="373"/>
      <c r="I19" s="374"/>
    </row>
    <row r="20" spans="1:9" ht="12.75" customHeight="1">
      <c r="A20" s="267"/>
      <c r="B20" s="285"/>
      <c r="C20" s="285"/>
      <c r="D20" s="285"/>
      <c r="E20" s="285"/>
      <c r="F20" s="286"/>
    </row>
    <row r="21" spans="1:9">
      <c r="A21" s="360" t="str">
        <f>ORÇAMENTO!B15</f>
        <v>PILAR DE MADEIRA ROLIÇA, EUCALIPTO TRATADO, DIÂMETRO DE 14 CM, ALTURA DE 3 M. ITEM 03 DO PROJETO</v>
      </c>
      <c r="B21" s="360"/>
      <c r="C21" s="360"/>
      <c r="D21" s="360"/>
      <c r="E21" s="360"/>
      <c r="F21" s="361" t="s">
        <v>395</v>
      </c>
    </row>
    <row r="22" spans="1:9">
      <c r="A22" s="376" t="s">
        <v>120</v>
      </c>
      <c r="B22" s="376" t="s">
        <v>121</v>
      </c>
      <c r="C22" s="376" t="s">
        <v>122</v>
      </c>
      <c r="D22" s="376" t="s">
        <v>123</v>
      </c>
      <c r="E22" s="376" t="s">
        <v>124</v>
      </c>
      <c r="F22" s="362" t="s">
        <v>308</v>
      </c>
    </row>
    <row r="23" spans="1:9">
      <c r="A23" s="227" t="str">
        <f t="shared" ref="A23:E26" si="1">A15</f>
        <v>Tramavan</v>
      </c>
      <c r="B23" s="227" t="str">
        <f t="shared" si="1"/>
        <v>80.494.009/0001-64</v>
      </c>
      <c r="C23" s="226">
        <f t="shared" si="1"/>
        <v>45495</v>
      </c>
      <c r="D23" s="227" t="str">
        <f t="shared" si="1"/>
        <v>Vanderlei</v>
      </c>
      <c r="E23" s="227" t="str">
        <f t="shared" si="1"/>
        <v>(48)-99945-8841</v>
      </c>
      <c r="F23" s="477">
        <v>10</v>
      </c>
    </row>
    <row r="24" spans="1:9">
      <c r="A24" s="227" t="str">
        <f t="shared" si="1"/>
        <v>Ponto das Madeiras</v>
      </c>
      <c r="B24" s="227" t="str">
        <f t="shared" si="1"/>
        <v>48.372.763/0001-72</v>
      </c>
      <c r="C24" s="226">
        <f t="shared" si="1"/>
        <v>45495</v>
      </c>
      <c r="D24" s="227" t="str">
        <f t="shared" si="1"/>
        <v>José</v>
      </c>
      <c r="E24" s="227" t="str">
        <f t="shared" si="1"/>
        <v>(48)-99835-0458</v>
      </c>
      <c r="F24" s="377">
        <v>9.5</v>
      </c>
      <c r="G24" s="375"/>
    </row>
    <row r="25" spans="1:9">
      <c r="A25" s="227" t="str">
        <f t="shared" si="1"/>
        <v>Madeireira Dário</v>
      </c>
      <c r="B25" s="227" t="str">
        <f t="shared" si="1"/>
        <v>05.666.942/0001-27</v>
      </c>
      <c r="C25" s="226">
        <f t="shared" si="1"/>
        <v>45495</v>
      </c>
      <c r="D25" s="227" t="str">
        <f t="shared" si="1"/>
        <v>Enio</v>
      </c>
      <c r="E25" s="227" t="str">
        <f t="shared" si="1"/>
        <v>(48)-99926-3212</v>
      </c>
      <c r="F25" s="377">
        <f>56.34/3</f>
        <v>18.78</v>
      </c>
    </row>
    <row r="26" spans="1:9" hidden="1">
      <c r="A26" s="227" t="str">
        <f t="shared" si="1"/>
        <v>Tratasul</v>
      </c>
      <c r="B26" s="227" t="str">
        <f t="shared" si="1"/>
        <v>02.445.862/0001-53</v>
      </c>
      <c r="C26" s="226">
        <f t="shared" si="1"/>
        <v>45495</v>
      </c>
      <c r="D26" s="227" t="str">
        <f t="shared" si="1"/>
        <v>Elio Henrique</v>
      </c>
      <c r="E26" s="227" t="str">
        <f t="shared" si="1"/>
        <v>(48)-3526-7724</v>
      </c>
      <c r="F26" s="377"/>
    </row>
    <row r="27" spans="1:9">
      <c r="A27" s="371" t="s">
        <v>125</v>
      </c>
      <c r="B27" s="249">
        <v>45495</v>
      </c>
      <c r="C27" s="372"/>
      <c r="D27" s="764" t="s">
        <v>356</v>
      </c>
      <c r="E27" s="764"/>
      <c r="F27" s="478">
        <f>TRUNC(MEDIAN(F23:F26),2)</f>
        <v>10</v>
      </c>
      <c r="G27" s="373"/>
      <c r="H27" s="373"/>
      <c r="I27" s="374"/>
    </row>
    <row r="28" spans="1:9" ht="12.75" customHeight="1">
      <c r="A28" s="267"/>
      <c r="B28" s="285"/>
      <c r="C28" s="285"/>
      <c r="D28" s="285"/>
      <c r="E28" s="285"/>
      <c r="F28" s="286"/>
    </row>
    <row r="29" spans="1:9">
      <c r="A29" s="360" t="str">
        <f>ORÇAMENTO!B16</f>
        <v>VIGA DE MADEIRA SERRADA, PINUS TRATADO, SEÇÃO RETANGULAR 6 X 6 X 115 CM. ITEM 04 DO PROJETO</v>
      </c>
      <c r="B29" s="360"/>
      <c r="C29" s="360"/>
      <c r="D29" s="360"/>
      <c r="E29" s="360"/>
      <c r="F29" s="361" t="s">
        <v>395</v>
      </c>
    </row>
    <row r="30" spans="1:9">
      <c r="A30" s="376" t="s">
        <v>120</v>
      </c>
      <c r="B30" s="376" t="s">
        <v>121</v>
      </c>
      <c r="C30" s="376" t="s">
        <v>122</v>
      </c>
      <c r="D30" s="376" t="s">
        <v>123</v>
      </c>
      <c r="E30" s="376" t="s">
        <v>124</v>
      </c>
      <c r="F30" s="362" t="s">
        <v>308</v>
      </c>
    </row>
    <row r="31" spans="1:9">
      <c r="A31" s="227" t="str">
        <f t="shared" ref="A31:E34" si="2">A23</f>
        <v>Tramavan</v>
      </c>
      <c r="B31" s="227" t="str">
        <f t="shared" si="2"/>
        <v>80.494.009/0001-64</v>
      </c>
      <c r="C31" s="226">
        <f t="shared" si="2"/>
        <v>45495</v>
      </c>
      <c r="D31" s="227" t="str">
        <f t="shared" si="2"/>
        <v>Vanderlei</v>
      </c>
      <c r="E31" s="227" t="str">
        <f t="shared" si="2"/>
        <v>(48)-99945-8841</v>
      </c>
      <c r="F31" s="477">
        <v>7</v>
      </c>
    </row>
    <row r="32" spans="1:9">
      <c r="A32" s="227" t="str">
        <f t="shared" si="2"/>
        <v>Ponto das Madeiras</v>
      </c>
      <c r="B32" s="227" t="str">
        <f t="shared" si="2"/>
        <v>48.372.763/0001-72</v>
      </c>
      <c r="C32" s="226">
        <f t="shared" si="2"/>
        <v>45495</v>
      </c>
      <c r="D32" s="227" t="str">
        <f t="shared" si="2"/>
        <v>José</v>
      </c>
      <c r="E32" s="227" t="str">
        <f t="shared" si="2"/>
        <v>(48)-99835-0458</v>
      </c>
      <c r="F32" s="377">
        <v>6.5</v>
      </c>
      <c r="G32" s="375"/>
    </row>
    <row r="33" spans="1:9" hidden="1">
      <c r="A33" s="227" t="str">
        <f t="shared" si="2"/>
        <v>Madeireira Dário</v>
      </c>
      <c r="B33" s="227" t="str">
        <f t="shared" si="2"/>
        <v>05.666.942/0001-27</v>
      </c>
      <c r="C33" s="226">
        <f t="shared" si="2"/>
        <v>45495</v>
      </c>
      <c r="D33" s="227" t="str">
        <f t="shared" si="2"/>
        <v>Enio</v>
      </c>
      <c r="E33" s="227" t="str">
        <f t="shared" si="2"/>
        <v>(48)-99926-3212</v>
      </c>
      <c r="F33" s="377"/>
    </row>
    <row r="34" spans="1:9">
      <c r="A34" s="227" t="str">
        <f t="shared" si="2"/>
        <v>Tratasul</v>
      </c>
      <c r="B34" s="227" t="str">
        <f t="shared" si="2"/>
        <v>02.445.862/0001-53</v>
      </c>
      <c r="C34" s="226">
        <f t="shared" si="2"/>
        <v>45495</v>
      </c>
      <c r="D34" s="227" t="str">
        <f t="shared" si="2"/>
        <v>Elio Henrique</v>
      </c>
      <c r="E34" s="227" t="str">
        <f t="shared" si="2"/>
        <v>(48)-3526-7724</v>
      </c>
      <c r="F34" s="377">
        <v>15.04</v>
      </c>
    </row>
    <row r="35" spans="1:9">
      <c r="A35" s="371" t="s">
        <v>125</v>
      </c>
      <c r="B35" s="249">
        <v>45495</v>
      </c>
      <c r="C35" s="372"/>
      <c r="D35" s="764" t="s">
        <v>356</v>
      </c>
      <c r="E35" s="764"/>
      <c r="F35" s="478">
        <f>TRUNC(MEDIAN(F31:F34),2)</f>
        <v>7</v>
      </c>
      <c r="G35" s="373"/>
      <c r="H35" s="373"/>
      <c r="I35" s="374"/>
    </row>
    <row r="36" spans="1:9" ht="12.75" customHeight="1">
      <c r="A36" s="267"/>
      <c r="B36" s="285"/>
      <c r="C36" s="285"/>
      <c r="D36" s="285"/>
      <c r="E36" s="285"/>
      <c r="F36" s="286"/>
    </row>
    <row r="37" spans="1:9">
      <c r="A37" s="360" t="str">
        <f>ORÇAMENTO!B17</f>
        <v>PISO DE MADEIRA (PINUS TRATADO), SOBRE VIGOTAS DE MADEIRA SEÇÃO 10 X 3,5 X 134 CM. ITEM 05 DO PROJETO</v>
      </c>
      <c r="B37" s="360"/>
      <c r="C37" s="360"/>
      <c r="D37" s="360"/>
      <c r="E37" s="360"/>
      <c r="F37" s="361" t="s">
        <v>395</v>
      </c>
    </row>
    <row r="38" spans="1:9">
      <c r="A38" s="376" t="s">
        <v>120</v>
      </c>
      <c r="B38" s="376" t="s">
        <v>121</v>
      </c>
      <c r="C38" s="376" t="s">
        <v>122</v>
      </c>
      <c r="D38" s="376" t="s">
        <v>123</v>
      </c>
      <c r="E38" s="376" t="s">
        <v>124</v>
      </c>
      <c r="F38" s="362" t="s">
        <v>308</v>
      </c>
    </row>
    <row r="39" spans="1:9">
      <c r="A39" s="227" t="str">
        <f t="shared" ref="A39:E42" si="3">A31</f>
        <v>Tramavan</v>
      </c>
      <c r="B39" s="227" t="str">
        <f t="shared" si="3"/>
        <v>80.494.009/0001-64</v>
      </c>
      <c r="C39" s="226">
        <f t="shared" si="3"/>
        <v>45495</v>
      </c>
      <c r="D39" s="227" t="str">
        <f t="shared" si="3"/>
        <v>Vanderlei</v>
      </c>
      <c r="E39" s="227" t="str">
        <f t="shared" si="3"/>
        <v>(48)-99945-8841</v>
      </c>
      <c r="F39" s="477">
        <v>65</v>
      </c>
    </row>
    <row r="40" spans="1:9">
      <c r="A40" s="227" t="str">
        <f t="shared" si="3"/>
        <v>Ponto das Madeiras</v>
      </c>
      <c r="B40" s="227" t="str">
        <f t="shared" si="3"/>
        <v>48.372.763/0001-72</v>
      </c>
      <c r="C40" s="226">
        <f t="shared" si="3"/>
        <v>45495</v>
      </c>
      <c r="D40" s="227" t="str">
        <f t="shared" si="3"/>
        <v>José</v>
      </c>
      <c r="E40" s="227" t="str">
        <f t="shared" si="3"/>
        <v>(48)-99835-0458</v>
      </c>
      <c r="F40" s="377">
        <v>64</v>
      </c>
      <c r="G40" s="375"/>
    </row>
    <row r="41" spans="1:9">
      <c r="A41" s="227" t="str">
        <f t="shared" si="3"/>
        <v>Madeireira Dário</v>
      </c>
      <c r="B41" s="227" t="str">
        <f t="shared" si="3"/>
        <v>05.666.942/0001-27</v>
      </c>
      <c r="C41" s="226">
        <f t="shared" si="3"/>
        <v>45495</v>
      </c>
      <c r="D41" s="227" t="str">
        <f t="shared" si="3"/>
        <v>Enio</v>
      </c>
      <c r="E41" s="227" t="str">
        <f t="shared" si="3"/>
        <v>(48)-99926-3212</v>
      </c>
      <c r="F41" s="377">
        <v>75.91</v>
      </c>
    </row>
    <row r="42" spans="1:9" hidden="1">
      <c r="A42" s="227" t="str">
        <f t="shared" si="3"/>
        <v>Tratasul</v>
      </c>
      <c r="B42" s="227" t="str">
        <f t="shared" si="3"/>
        <v>02.445.862/0001-53</v>
      </c>
      <c r="C42" s="226">
        <f t="shared" si="3"/>
        <v>45495</v>
      </c>
      <c r="D42" s="227" t="str">
        <f t="shared" si="3"/>
        <v>Elio Henrique</v>
      </c>
      <c r="E42" s="227" t="str">
        <f t="shared" si="3"/>
        <v>(48)-3526-7724</v>
      </c>
      <c r="F42" s="377"/>
    </row>
    <row r="43" spans="1:9">
      <c r="A43" s="371" t="s">
        <v>125</v>
      </c>
      <c r="B43" s="249">
        <v>45495</v>
      </c>
      <c r="C43" s="372"/>
      <c r="D43" s="764" t="s">
        <v>356</v>
      </c>
      <c r="E43" s="764"/>
      <c r="F43" s="478">
        <f>TRUNC(MEDIAN(F39:F42),2)</f>
        <v>65</v>
      </c>
      <c r="G43" s="373"/>
      <c r="H43" s="373"/>
      <c r="I43" s="374"/>
    </row>
    <row r="44" spans="1:9" ht="12.75" customHeight="1">
      <c r="A44" s="267"/>
      <c r="B44" s="285"/>
      <c r="C44" s="285"/>
      <c r="D44" s="285"/>
      <c r="E44" s="285"/>
      <c r="F44" s="286"/>
    </row>
    <row r="45" spans="1:9">
      <c r="A45" s="360" t="str">
        <f>ORÇAMENTO!B18</f>
        <v>VIGA DE MADEIRA ROLIÇA EM EUCALIPTO TRATADO (APLAINADA PARA ASSENTAMENTO DE DECK), DIÂMETRO DE 12 CM, COMPRIMENTO DE 4 M. ITEM 06 DO PROJETO</v>
      </c>
      <c r="B45" s="360"/>
      <c r="C45" s="360"/>
      <c r="D45" s="360"/>
      <c r="E45" s="360"/>
      <c r="F45" s="361" t="s">
        <v>395</v>
      </c>
    </row>
    <row r="46" spans="1:9">
      <c r="A46" s="376" t="s">
        <v>120</v>
      </c>
      <c r="B46" s="376" t="s">
        <v>121</v>
      </c>
      <c r="C46" s="376" t="s">
        <v>122</v>
      </c>
      <c r="D46" s="376" t="s">
        <v>123</v>
      </c>
      <c r="E46" s="376" t="s">
        <v>124</v>
      </c>
      <c r="F46" s="362" t="s">
        <v>308</v>
      </c>
    </row>
    <row r="47" spans="1:9">
      <c r="A47" s="227" t="str">
        <f t="shared" ref="A47:E50" si="4">A39</f>
        <v>Tramavan</v>
      </c>
      <c r="B47" s="227" t="str">
        <f t="shared" si="4"/>
        <v>80.494.009/0001-64</v>
      </c>
      <c r="C47" s="226">
        <f t="shared" si="4"/>
        <v>45495</v>
      </c>
      <c r="D47" s="227" t="str">
        <f t="shared" si="4"/>
        <v>Vanderlei</v>
      </c>
      <c r="E47" s="227" t="str">
        <f t="shared" si="4"/>
        <v>(48)-99945-8841</v>
      </c>
      <c r="F47" s="477">
        <v>10</v>
      </c>
    </row>
    <row r="48" spans="1:9">
      <c r="A48" s="227" t="str">
        <f t="shared" si="4"/>
        <v>Ponto das Madeiras</v>
      </c>
      <c r="B48" s="227" t="str">
        <f t="shared" si="4"/>
        <v>48.372.763/0001-72</v>
      </c>
      <c r="C48" s="226">
        <f t="shared" si="4"/>
        <v>45495</v>
      </c>
      <c r="D48" s="227" t="str">
        <f t="shared" si="4"/>
        <v>José</v>
      </c>
      <c r="E48" s="227" t="str">
        <f t="shared" si="4"/>
        <v>(48)-99835-0458</v>
      </c>
      <c r="F48" s="377">
        <v>9</v>
      </c>
      <c r="G48" s="375"/>
    </row>
    <row r="49" spans="1:9">
      <c r="A49" s="227" t="str">
        <f t="shared" si="4"/>
        <v>Madeireira Dário</v>
      </c>
      <c r="B49" s="227" t="str">
        <f t="shared" si="4"/>
        <v>05.666.942/0001-27</v>
      </c>
      <c r="C49" s="226">
        <f t="shared" si="4"/>
        <v>45495</v>
      </c>
      <c r="D49" s="227" t="str">
        <f t="shared" si="4"/>
        <v>Enio</v>
      </c>
      <c r="E49" s="227" t="str">
        <f t="shared" si="4"/>
        <v>(48)-99926-3212</v>
      </c>
      <c r="F49" s="377">
        <f>56.32/4</f>
        <v>14.08</v>
      </c>
    </row>
    <row r="50" spans="1:9" hidden="1">
      <c r="A50" s="227" t="str">
        <f t="shared" si="4"/>
        <v>Tratasul</v>
      </c>
      <c r="B50" s="227" t="str">
        <f t="shared" si="4"/>
        <v>02.445.862/0001-53</v>
      </c>
      <c r="C50" s="226">
        <f t="shared" si="4"/>
        <v>45495</v>
      </c>
      <c r="D50" s="227" t="str">
        <f t="shared" si="4"/>
        <v>Elio Henrique</v>
      </c>
      <c r="E50" s="227" t="str">
        <f t="shared" si="4"/>
        <v>(48)-3526-7724</v>
      </c>
      <c r="F50" s="377"/>
    </row>
    <row r="51" spans="1:9">
      <c r="A51" s="371" t="s">
        <v>125</v>
      </c>
      <c r="B51" s="249">
        <v>45495</v>
      </c>
      <c r="C51" s="372"/>
      <c r="D51" s="764" t="s">
        <v>356</v>
      </c>
      <c r="E51" s="764"/>
      <c r="F51" s="478">
        <f>TRUNC(MEDIAN(F47:F50),2)</f>
        <v>10</v>
      </c>
      <c r="G51" s="373"/>
      <c r="H51" s="373"/>
      <c r="I51" s="374"/>
    </row>
    <row r="52" spans="1:9" ht="12.75" customHeight="1">
      <c r="A52" s="267"/>
      <c r="B52" s="285"/>
      <c r="C52" s="285"/>
      <c r="D52" s="285"/>
      <c r="E52" s="285"/>
      <c r="F52" s="286"/>
    </row>
    <row r="53" spans="1:9">
      <c r="A53" s="476" t="str">
        <f>ORÇAMENTO!B19</f>
        <v>VIGA DE MADEIRA ROLIÇA EM EUCALIPTO TRATADO, DIÂMETRO DE 12 CM, COMPRIMENTO DE 1,48 M. ITEM 07 DO PROJETO</v>
      </c>
      <c r="B53" s="360"/>
      <c r="C53" s="360"/>
      <c r="D53" s="360"/>
      <c r="E53" s="360"/>
      <c r="F53" s="361" t="s">
        <v>395</v>
      </c>
    </row>
    <row r="54" spans="1:9">
      <c r="A54" s="376" t="s">
        <v>120</v>
      </c>
      <c r="B54" s="376" t="s">
        <v>121</v>
      </c>
      <c r="C54" s="376" t="s">
        <v>122</v>
      </c>
      <c r="D54" s="376" t="s">
        <v>123</v>
      </c>
      <c r="E54" s="376" t="s">
        <v>124</v>
      </c>
      <c r="F54" s="362" t="s">
        <v>308</v>
      </c>
    </row>
    <row r="55" spans="1:9">
      <c r="A55" s="227" t="str">
        <f t="shared" ref="A55:E58" si="5">A47</f>
        <v>Tramavan</v>
      </c>
      <c r="B55" s="227" t="str">
        <f t="shared" si="5"/>
        <v>80.494.009/0001-64</v>
      </c>
      <c r="C55" s="226">
        <f t="shared" si="5"/>
        <v>45495</v>
      </c>
      <c r="D55" s="227" t="str">
        <f t="shared" si="5"/>
        <v>Vanderlei</v>
      </c>
      <c r="E55" s="227" t="str">
        <f t="shared" si="5"/>
        <v>(48)-99945-8841</v>
      </c>
      <c r="F55" s="477">
        <v>10</v>
      </c>
    </row>
    <row r="56" spans="1:9">
      <c r="A56" s="227" t="str">
        <f t="shared" si="5"/>
        <v>Ponto das Madeiras</v>
      </c>
      <c r="B56" s="227" t="str">
        <f t="shared" si="5"/>
        <v>48.372.763/0001-72</v>
      </c>
      <c r="C56" s="226">
        <f t="shared" si="5"/>
        <v>45495</v>
      </c>
      <c r="D56" s="227" t="str">
        <f t="shared" si="5"/>
        <v>José</v>
      </c>
      <c r="E56" s="227" t="str">
        <f t="shared" si="5"/>
        <v>(48)-99835-0458</v>
      </c>
      <c r="F56" s="377">
        <v>9</v>
      </c>
      <c r="G56" s="375"/>
    </row>
    <row r="57" spans="1:9" hidden="1">
      <c r="A57" s="227" t="str">
        <f t="shared" si="5"/>
        <v>Madeireira Dário</v>
      </c>
      <c r="B57" s="227" t="str">
        <f t="shared" si="5"/>
        <v>05.666.942/0001-27</v>
      </c>
      <c r="C57" s="226">
        <f t="shared" si="5"/>
        <v>45495</v>
      </c>
      <c r="D57" s="227" t="str">
        <f t="shared" si="5"/>
        <v>Enio</v>
      </c>
      <c r="E57" s="227" t="str">
        <f t="shared" si="5"/>
        <v>(48)-99926-3212</v>
      </c>
      <c r="F57" s="377"/>
    </row>
    <row r="58" spans="1:9">
      <c r="A58" s="227" t="str">
        <f t="shared" si="5"/>
        <v>Tratasul</v>
      </c>
      <c r="B58" s="227" t="str">
        <f t="shared" si="5"/>
        <v>02.445.862/0001-53</v>
      </c>
      <c r="C58" s="226">
        <f t="shared" si="5"/>
        <v>45495</v>
      </c>
      <c r="D58" s="227" t="str">
        <f t="shared" si="5"/>
        <v>Elio Henrique</v>
      </c>
      <c r="E58" s="227" t="str">
        <f t="shared" si="5"/>
        <v>(48)-3526-7724</v>
      </c>
      <c r="F58" s="377">
        <v>17</v>
      </c>
    </row>
    <row r="59" spans="1:9">
      <c r="A59" s="371" t="s">
        <v>125</v>
      </c>
      <c r="B59" s="249">
        <v>45495</v>
      </c>
      <c r="C59" s="372"/>
      <c r="D59" s="764" t="s">
        <v>356</v>
      </c>
      <c r="E59" s="764"/>
      <c r="F59" s="478">
        <f>TRUNC(MEDIAN(F55:F58),2)</f>
        <v>10</v>
      </c>
      <c r="G59" s="373"/>
      <c r="H59" s="373"/>
      <c r="I59" s="374"/>
    </row>
    <row r="61" spans="1:9">
      <c r="A61" s="476" t="s">
        <v>518</v>
      </c>
      <c r="B61" s="360"/>
      <c r="C61" s="360"/>
      <c r="D61" s="360"/>
      <c r="E61" s="360"/>
      <c r="F61" s="361" t="s">
        <v>395</v>
      </c>
    </row>
    <row r="62" spans="1:9">
      <c r="A62" s="376" t="s">
        <v>120</v>
      </c>
      <c r="B62" s="376" t="s">
        <v>121</v>
      </c>
      <c r="C62" s="376" t="s">
        <v>122</v>
      </c>
      <c r="D62" s="376" t="s">
        <v>123</v>
      </c>
      <c r="E62" s="376" t="s">
        <v>124</v>
      </c>
      <c r="F62" s="362" t="s">
        <v>308</v>
      </c>
    </row>
    <row r="63" spans="1:9">
      <c r="A63" s="227" t="s">
        <v>513</v>
      </c>
      <c r="B63" s="227" t="s">
        <v>514</v>
      </c>
      <c r="C63" s="226">
        <f>C56</f>
        <v>45495</v>
      </c>
      <c r="D63" s="227" t="s">
        <v>530</v>
      </c>
      <c r="E63" s="227" t="s">
        <v>515</v>
      </c>
      <c r="F63" s="477">
        <v>10</v>
      </c>
    </row>
    <row r="64" spans="1:9">
      <c r="A64" s="227" t="s">
        <v>532</v>
      </c>
      <c r="B64" s="227" t="s">
        <v>531</v>
      </c>
      <c r="C64" s="226">
        <f>C57</f>
        <v>45495</v>
      </c>
      <c r="D64" s="227" t="s">
        <v>519</v>
      </c>
      <c r="E64" s="227" t="s">
        <v>533</v>
      </c>
      <c r="F64" s="377">
        <v>13</v>
      </c>
      <c r="G64" s="375"/>
    </row>
    <row r="65" spans="1:9">
      <c r="A65" s="227" t="s">
        <v>534</v>
      </c>
      <c r="B65" s="227" t="s">
        <v>536</v>
      </c>
      <c r="C65" s="226">
        <v>45495</v>
      </c>
      <c r="D65" s="227" t="s">
        <v>535</v>
      </c>
      <c r="E65" s="227" t="s">
        <v>537</v>
      </c>
      <c r="F65" s="377">
        <v>12</v>
      </c>
    </row>
    <row r="66" spans="1:9">
      <c r="A66" s="371" t="s">
        <v>125</v>
      </c>
      <c r="B66" s="249">
        <v>45495</v>
      </c>
      <c r="C66" s="372"/>
      <c r="D66" s="764" t="s">
        <v>356</v>
      </c>
      <c r="E66" s="764"/>
      <c r="F66" s="478">
        <f>TRUNC(MEDIAN(F63:F65),2)</f>
        <v>12</v>
      </c>
      <c r="G66" s="373"/>
      <c r="H66" s="373"/>
      <c r="I66" s="374"/>
    </row>
    <row r="68" spans="1:9">
      <c r="A68" s="476" t="s">
        <v>516</v>
      </c>
      <c r="B68" s="360"/>
      <c r="C68" s="360"/>
      <c r="D68" s="360"/>
      <c r="E68" s="360"/>
      <c r="F68" s="361" t="s">
        <v>395</v>
      </c>
    </row>
    <row r="69" spans="1:9">
      <c r="A69" s="376" t="s">
        <v>120</v>
      </c>
      <c r="B69" s="376" t="s">
        <v>121</v>
      </c>
      <c r="C69" s="376" t="s">
        <v>122</v>
      </c>
      <c r="D69" s="376" t="s">
        <v>123</v>
      </c>
      <c r="E69" s="376" t="s">
        <v>124</v>
      </c>
      <c r="F69" s="362" t="s">
        <v>308</v>
      </c>
    </row>
    <row r="70" spans="1:9">
      <c r="A70" s="227" t="s">
        <v>513</v>
      </c>
      <c r="B70" s="227" t="s">
        <v>514</v>
      </c>
      <c r="C70" s="226">
        <v>45495</v>
      </c>
      <c r="D70" s="227" t="s">
        <v>530</v>
      </c>
      <c r="E70" s="227" t="s">
        <v>515</v>
      </c>
      <c r="F70" s="477">
        <v>0.2</v>
      </c>
    </row>
    <row r="71" spans="1:9">
      <c r="A71" s="227" t="s">
        <v>532</v>
      </c>
      <c r="B71" s="227" t="s">
        <v>531</v>
      </c>
      <c r="C71" s="226">
        <f>C64</f>
        <v>45495</v>
      </c>
      <c r="D71" s="227" t="s">
        <v>519</v>
      </c>
      <c r="E71" s="227" t="s">
        <v>533</v>
      </c>
      <c r="F71" s="377">
        <v>0.24</v>
      </c>
      <c r="G71" s="375"/>
    </row>
    <row r="72" spans="1:9">
      <c r="A72" s="227" t="s">
        <v>534</v>
      </c>
      <c r="B72" s="227" t="s">
        <v>536</v>
      </c>
      <c r="C72" s="226">
        <v>45495</v>
      </c>
      <c r="D72" s="227" t="s">
        <v>535</v>
      </c>
      <c r="E72" s="227" t="s">
        <v>537</v>
      </c>
      <c r="F72" s="377">
        <v>0.35</v>
      </c>
    </row>
    <row r="73" spans="1:9">
      <c r="A73" s="371" t="s">
        <v>125</v>
      </c>
      <c r="B73" s="249">
        <v>45495</v>
      </c>
      <c r="C73" s="372"/>
      <c r="D73" s="764" t="s">
        <v>356</v>
      </c>
      <c r="E73" s="764"/>
      <c r="F73" s="478">
        <f>TRUNC(MEDIAN(F70:F72),2)</f>
        <v>0.24</v>
      </c>
      <c r="G73" s="373"/>
      <c r="H73" s="373"/>
      <c r="I73" s="374"/>
    </row>
    <row r="75" spans="1:9">
      <c r="A75" s="476" t="s">
        <v>517</v>
      </c>
      <c r="B75" s="360"/>
      <c r="C75" s="360"/>
      <c r="D75" s="360"/>
      <c r="E75" s="360"/>
      <c r="F75" s="361" t="s">
        <v>395</v>
      </c>
    </row>
    <row r="76" spans="1:9">
      <c r="A76" s="376" t="s">
        <v>120</v>
      </c>
      <c r="B76" s="376" t="s">
        <v>121</v>
      </c>
      <c r="C76" s="376" t="s">
        <v>122</v>
      </c>
      <c r="D76" s="376" t="s">
        <v>123</v>
      </c>
      <c r="E76" s="376" t="s">
        <v>124</v>
      </c>
      <c r="F76" s="362" t="s">
        <v>308</v>
      </c>
    </row>
    <row r="77" spans="1:9">
      <c r="A77" s="227" t="s">
        <v>513</v>
      </c>
      <c r="B77" s="227" t="s">
        <v>514</v>
      </c>
      <c r="C77" s="226">
        <v>45495</v>
      </c>
      <c r="D77" s="227" t="s">
        <v>530</v>
      </c>
      <c r="E77" s="227" t="s">
        <v>515</v>
      </c>
      <c r="F77" s="477">
        <v>0.15</v>
      </c>
    </row>
    <row r="78" spans="1:9">
      <c r="A78" s="227" t="s">
        <v>532</v>
      </c>
      <c r="B78" s="227" t="s">
        <v>531</v>
      </c>
      <c r="C78" s="226">
        <f>C71</f>
        <v>45495</v>
      </c>
      <c r="D78" s="227" t="s">
        <v>519</v>
      </c>
      <c r="E78" s="227" t="s">
        <v>533</v>
      </c>
      <c r="F78" s="377">
        <v>0.24</v>
      </c>
      <c r="G78" s="375"/>
    </row>
    <row r="79" spans="1:9">
      <c r="A79" s="227" t="s">
        <v>534</v>
      </c>
      <c r="B79" s="227" t="s">
        <v>536</v>
      </c>
      <c r="C79" s="226">
        <v>45495</v>
      </c>
      <c r="D79" s="227" t="s">
        <v>535</v>
      </c>
      <c r="E79" s="227" t="s">
        <v>537</v>
      </c>
      <c r="F79" s="377">
        <v>0.28999999999999998</v>
      </c>
    </row>
    <row r="80" spans="1:9">
      <c r="A80" s="371" t="s">
        <v>125</v>
      </c>
      <c r="B80" s="249">
        <v>45495</v>
      </c>
      <c r="C80" s="372"/>
      <c r="D80" s="764" t="s">
        <v>356</v>
      </c>
      <c r="E80" s="764"/>
      <c r="F80" s="478">
        <f>TRUNC(MEDIAN(F77:F79),2)</f>
        <v>0.24</v>
      </c>
      <c r="G80" s="373"/>
      <c r="H80" s="373"/>
      <c r="I80" s="374"/>
    </row>
  </sheetData>
  <mergeCells count="16">
    <mergeCell ref="D11:E11"/>
    <mergeCell ref="D19:E19"/>
    <mergeCell ref="D27:E27"/>
    <mergeCell ref="D66:E66"/>
    <mergeCell ref="A1:A3"/>
    <mergeCell ref="B1:F1"/>
    <mergeCell ref="B2:C2"/>
    <mergeCell ref="D2:E2"/>
    <mergeCell ref="B3:C3"/>
    <mergeCell ref="D3:E3"/>
    <mergeCell ref="D80:E80"/>
    <mergeCell ref="D35:E35"/>
    <mergeCell ref="D43:E43"/>
    <mergeCell ref="D51:E51"/>
    <mergeCell ref="D59:E59"/>
    <mergeCell ref="D73:E73"/>
  </mergeCells>
  <printOptions horizontalCentered="1"/>
  <pageMargins left="0.51181102362204722" right="0.51181102362204722" top="0.59055118110236227" bottom="0.78740157480314965" header="0.31496062992125984" footer="0.19685039370078741"/>
  <pageSetup paperSize="9" scale="60" orientation="portrait" r:id="rId1"/>
  <colBreaks count="1" manualBreakCount="1">
    <brk id="7" max="110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showGridLines="0" view="pageBreakPreview" zoomScaleNormal="55" zoomScaleSheetLayoutView="100" workbookViewId="0">
      <pane ySplit="5" topLeftCell="A6" activePane="bottomLeft" state="frozen"/>
      <selection activeCell="D6" sqref="D6:D7"/>
      <selection pane="bottomLeft" activeCell="E49" sqref="E49"/>
    </sheetView>
  </sheetViews>
  <sheetFormatPr defaultRowHeight="15"/>
  <cols>
    <col min="1" max="1" width="17.28515625" style="233" customWidth="1"/>
    <col min="2" max="2" width="48.28515625" style="233" bestFit="1" customWidth="1"/>
    <col min="3" max="4" width="13.85546875" style="262" customWidth="1"/>
    <col min="5" max="5" width="22.140625" style="262" bestFit="1" customWidth="1"/>
    <col min="6" max="6" width="12.140625" style="260" bestFit="1" customWidth="1"/>
    <col min="7" max="7" width="49.7109375" style="260" bestFit="1" customWidth="1"/>
    <col min="8" max="8" width="9" style="81" bestFit="1" customWidth="1"/>
    <col min="9" max="9" width="48.28515625" style="233" bestFit="1" customWidth="1"/>
    <col min="10" max="11" width="9.28515625" style="233" bestFit="1" customWidth="1"/>
    <col min="12" max="12" width="8.7109375" style="233" bestFit="1" customWidth="1"/>
    <col min="13" max="13" width="12.28515625" style="233" bestFit="1" customWidth="1"/>
    <col min="14" max="14" width="12.7109375" style="233" bestFit="1" customWidth="1"/>
    <col min="15" max="15" width="16.42578125" style="233" bestFit="1" customWidth="1"/>
    <col min="16" max="16384" width="9.140625" style="233"/>
  </cols>
  <sheetData>
    <row r="1" spans="1:11" ht="35.25" customHeight="1">
      <c r="A1" s="518"/>
      <c r="B1" s="768" t="s">
        <v>270</v>
      </c>
      <c r="C1" s="769"/>
      <c r="D1" s="769"/>
      <c r="E1" s="770"/>
      <c r="F1" s="255"/>
      <c r="G1" s="255"/>
      <c r="H1" s="72"/>
    </row>
    <row r="2" spans="1:11">
      <c r="A2" s="518"/>
      <c r="B2" s="336" t="str">
        <f>TRILHA!$G$2</f>
        <v>PREFEITURA MUNICIPAL DE MARACAJÁ</v>
      </c>
      <c r="C2" s="554" t="str">
        <f>TRILHA!$I$2</f>
        <v>BAIRRO: GARAJUVA</v>
      </c>
      <c r="D2" s="554"/>
      <c r="E2" s="337" t="str">
        <f>TRILHA!$K$2</f>
        <v>MUNICIPIO: MARACAJÁ</v>
      </c>
      <c r="F2" s="256"/>
      <c r="G2" s="256"/>
      <c r="H2" s="236"/>
    </row>
    <row r="3" spans="1:11">
      <c r="A3" s="518"/>
      <c r="B3" s="338" t="str">
        <f>TRILHA!G3</f>
        <v>TRILHA SUSPENSA - PARQUE ECOLÓGICO</v>
      </c>
      <c r="C3" s="557" t="str">
        <f>TRILHA!$M$2</f>
        <v>ESTADO: SANTA CATARINA</v>
      </c>
      <c r="D3" s="557"/>
      <c r="E3" s="339" t="str">
        <f ca="1">TRILHA!$M$3</f>
        <v>DATA: 07/08/24</v>
      </c>
      <c r="F3" s="256"/>
      <c r="G3" s="256"/>
      <c r="H3" s="236"/>
    </row>
    <row r="4" spans="1:11">
      <c r="A4" s="9"/>
      <c r="B4" s="10"/>
      <c r="C4" s="12"/>
      <c r="D4" s="12"/>
      <c r="E4" s="163"/>
      <c r="F4" s="256"/>
      <c r="G4" s="256"/>
      <c r="H4" s="236"/>
    </row>
    <row r="5" spans="1:11" ht="15.75" customHeight="1">
      <c r="A5" s="382" t="s">
        <v>269</v>
      </c>
      <c r="B5" s="363" t="s">
        <v>268</v>
      </c>
      <c r="C5" s="364">
        <v>45017</v>
      </c>
      <c r="D5" s="364">
        <v>45444</v>
      </c>
      <c r="E5" s="382" t="s">
        <v>181</v>
      </c>
      <c r="F5" s="257"/>
      <c r="G5" s="257"/>
      <c r="H5" s="74"/>
    </row>
    <row r="6" spans="1:11" s="5" customFormat="1" hidden="1">
      <c r="A6" s="193" t="s">
        <v>271</v>
      </c>
      <c r="B6" s="192" t="s">
        <v>212</v>
      </c>
      <c r="C6" s="193">
        <v>472.85</v>
      </c>
      <c r="D6" s="193">
        <f t="shared" ref="D6:D33" si="0">VLOOKUP(B6,G:H,2,FALSE)</f>
        <v>467.62200000000001</v>
      </c>
      <c r="E6" s="194">
        <f>D6/C6</f>
        <v>0.98894363963201859</v>
      </c>
      <c r="F6" s="257"/>
      <c r="G6" s="257" t="s">
        <v>212</v>
      </c>
      <c r="H6" s="74">
        <v>467.62200000000001</v>
      </c>
      <c r="J6" s="265"/>
      <c r="K6" s="32"/>
    </row>
    <row r="7" spans="1:11" hidden="1">
      <c r="A7" s="193" t="s">
        <v>275</v>
      </c>
      <c r="B7" s="192" t="s">
        <v>254</v>
      </c>
      <c r="C7" s="193">
        <v>473.029</v>
      </c>
      <c r="D7" s="193">
        <f t="shared" si="0"/>
        <v>466.726</v>
      </c>
      <c r="E7" s="194">
        <f t="shared" ref="E7:E25" si="1">D7/C7</f>
        <v>0.98667523555638237</v>
      </c>
      <c r="F7" s="258"/>
      <c r="G7" s="258" t="s">
        <v>254</v>
      </c>
      <c r="H7" s="76">
        <v>466.726</v>
      </c>
    </row>
    <row r="8" spans="1:11" ht="15" hidden="1" customHeight="1">
      <c r="A8" s="193" t="s">
        <v>378</v>
      </c>
      <c r="B8" s="192" t="s">
        <v>371</v>
      </c>
      <c r="C8" s="193">
        <v>98.963999999999999</v>
      </c>
      <c r="D8" s="193">
        <f t="shared" si="0"/>
        <v>97.200999999999993</v>
      </c>
      <c r="E8" s="194">
        <f t="shared" si="1"/>
        <v>0.98218544117052664</v>
      </c>
      <c r="F8" s="258"/>
      <c r="G8" s="258" t="s">
        <v>371</v>
      </c>
      <c r="H8" s="76">
        <v>97.200999999999993</v>
      </c>
      <c r="I8" s="5"/>
      <c r="J8" s="5"/>
    </row>
    <row r="9" spans="1:11" hidden="1">
      <c r="A9" s="193" t="s">
        <v>377</v>
      </c>
      <c r="B9" s="192" t="s">
        <v>360</v>
      </c>
      <c r="C9" s="193">
        <v>466.48099999999999</v>
      </c>
      <c r="D9" s="193">
        <f t="shared" si="0"/>
        <v>463.755</v>
      </c>
      <c r="E9" s="194">
        <f t="shared" si="1"/>
        <v>0.99415624644948031</v>
      </c>
      <c r="F9" s="258"/>
      <c r="G9" s="258" t="s">
        <v>360</v>
      </c>
      <c r="H9" s="76">
        <v>463.755</v>
      </c>
    </row>
    <row r="10" spans="1:11" s="5" customFormat="1">
      <c r="A10" s="193" t="s">
        <v>272</v>
      </c>
      <c r="B10" s="192" t="s">
        <v>183</v>
      </c>
      <c r="C10" s="193">
        <v>548.76499999999999</v>
      </c>
      <c r="D10" s="193">
        <v>572.84699999999998</v>
      </c>
      <c r="E10" s="194">
        <f t="shared" si="1"/>
        <v>1.0438839940593878</v>
      </c>
      <c r="F10" s="257"/>
      <c r="G10" s="257" t="s">
        <v>183</v>
      </c>
      <c r="H10" s="74">
        <v>563.50300000000004</v>
      </c>
      <c r="I10" s="233"/>
      <c r="J10" s="233"/>
    </row>
    <row r="11" spans="1:11" hidden="1">
      <c r="A11" s="193" t="s">
        <v>289</v>
      </c>
      <c r="B11" s="192" t="s">
        <v>359</v>
      </c>
      <c r="C11" s="193">
        <v>277.97199999999998</v>
      </c>
      <c r="D11" s="193">
        <f t="shared" si="0"/>
        <v>289.59899999999999</v>
      </c>
      <c r="E11" s="194">
        <f t="shared" si="1"/>
        <v>1.0418279538946369</v>
      </c>
      <c r="F11" s="258"/>
      <c r="G11" s="258" t="s">
        <v>359</v>
      </c>
      <c r="H11" s="76">
        <v>289.59899999999999</v>
      </c>
    </row>
    <row r="12" spans="1:11" hidden="1">
      <c r="A12" s="193" t="s">
        <v>273</v>
      </c>
      <c r="B12" s="192" t="s">
        <v>182</v>
      </c>
      <c r="C12" s="193">
        <v>451.49599999999998</v>
      </c>
      <c r="D12" s="193">
        <f t="shared" si="0"/>
        <v>455.05700000000002</v>
      </c>
      <c r="E12" s="194">
        <f t="shared" si="1"/>
        <v>1.0078871130641247</v>
      </c>
      <c r="F12" s="258"/>
      <c r="G12" s="258" t="s">
        <v>182</v>
      </c>
      <c r="H12" s="76">
        <v>455.05700000000002</v>
      </c>
    </row>
    <row r="13" spans="1:11" hidden="1">
      <c r="A13" s="193" t="s">
        <v>276</v>
      </c>
      <c r="B13" s="192" t="s">
        <v>185</v>
      </c>
      <c r="C13" s="193">
        <v>443.55900000000003</v>
      </c>
      <c r="D13" s="193">
        <f t="shared" si="0"/>
        <v>449.67700000000002</v>
      </c>
      <c r="E13" s="194">
        <f t="shared" si="1"/>
        <v>1.0137929790625373</v>
      </c>
      <c r="F13" s="258"/>
      <c r="G13" s="258" t="s">
        <v>185</v>
      </c>
      <c r="H13" s="76">
        <v>449.67700000000002</v>
      </c>
    </row>
    <row r="14" spans="1:11" hidden="1">
      <c r="A14" s="193" t="s">
        <v>282</v>
      </c>
      <c r="B14" s="192" t="s">
        <v>255</v>
      </c>
      <c r="C14" s="193">
        <v>412.67500000000001</v>
      </c>
      <c r="D14" s="193">
        <f t="shared" si="0"/>
        <v>410.94400000000002</v>
      </c>
      <c r="E14" s="194">
        <f t="shared" si="1"/>
        <v>0.99580541588417038</v>
      </c>
      <c r="F14" s="258"/>
      <c r="G14" s="258" t="s">
        <v>255</v>
      </c>
      <c r="H14" s="76">
        <v>410.94400000000002</v>
      </c>
    </row>
    <row r="15" spans="1:11" hidden="1">
      <c r="A15" s="193" t="s">
        <v>277</v>
      </c>
      <c r="B15" s="192" t="s">
        <v>256</v>
      </c>
      <c r="C15" s="193">
        <v>411.18599999999998</v>
      </c>
      <c r="D15" s="193">
        <f t="shared" si="0"/>
        <v>417.77100000000002</v>
      </c>
      <c r="E15" s="194">
        <f t="shared" si="1"/>
        <v>1.016014650304242</v>
      </c>
      <c r="F15" s="258"/>
      <c r="G15" s="258" t="s">
        <v>256</v>
      </c>
      <c r="H15" s="76">
        <v>417.77100000000002</v>
      </c>
    </row>
    <row r="16" spans="1:11" hidden="1">
      <c r="A16" s="193" t="s">
        <v>278</v>
      </c>
      <c r="B16" s="191" t="s">
        <v>257</v>
      </c>
      <c r="C16" s="193">
        <v>863.49800000000005</v>
      </c>
      <c r="D16" s="193">
        <f t="shared" si="0"/>
        <v>862.97699999999998</v>
      </c>
      <c r="E16" s="194">
        <f t="shared" si="1"/>
        <v>0.99939664017751051</v>
      </c>
      <c r="F16" s="258"/>
      <c r="G16" s="258" t="s">
        <v>257</v>
      </c>
      <c r="H16" s="76">
        <v>862.97699999999998</v>
      </c>
    </row>
    <row r="17" spans="1:10" hidden="1">
      <c r="A17" s="193" t="s">
        <v>274</v>
      </c>
      <c r="B17" s="275" t="s">
        <v>258</v>
      </c>
      <c r="C17" s="193">
        <v>1128.8050000000001</v>
      </c>
      <c r="D17" s="193">
        <f t="shared" si="0"/>
        <v>1082.5930000000001</v>
      </c>
      <c r="E17" s="194">
        <f t="shared" si="1"/>
        <v>0.95906113101908652</v>
      </c>
      <c r="F17" s="258"/>
      <c r="G17" s="258" t="s">
        <v>258</v>
      </c>
      <c r="H17" s="76">
        <v>1082.5930000000001</v>
      </c>
      <c r="I17" s="5"/>
      <c r="J17" s="5"/>
    </row>
    <row r="18" spans="1:10" s="5" customFormat="1" hidden="1">
      <c r="A18" s="193" t="s">
        <v>283</v>
      </c>
      <c r="B18" s="192" t="s">
        <v>338</v>
      </c>
      <c r="C18" s="193">
        <v>1061.635</v>
      </c>
      <c r="D18" s="193">
        <f t="shared" si="0"/>
        <v>1078.412</v>
      </c>
      <c r="E18" s="194">
        <f t="shared" si="1"/>
        <v>1.0158029831345048</v>
      </c>
      <c r="F18" s="257"/>
      <c r="G18" s="257" t="s">
        <v>338</v>
      </c>
      <c r="H18" s="74">
        <v>1078.412</v>
      </c>
      <c r="I18" s="233"/>
      <c r="J18" s="233"/>
    </row>
    <row r="19" spans="1:10" hidden="1">
      <c r="A19" s="193" t="s">
        <v>284</v>
      </c>
      <c r="B19" s="192" t="s">
        <v>259</v>
      </c>
      <c r="C19" s="193">
        <v>1360.703</v>
      </c>
      <c r="D19" s="193">
        <f t="shared" si="0"/>
        <v>1336.0809999999999</v>
      </c>
      <c r="E19" s="194">
        <f t="shared" si="1"/>
        <v>0.98190494178376908</v>
      </c>
      <c r="F19" s="258"/>
      <c r="G19" s="258" t="s">
        <v>259</v>
      </c>
      <c r="H19" s="76">
        <v>1336.0809999999999</v>
      </c>
    </row>
    <row r="20" spans="1:10" hidden="1">
      <c r="A20" s="193" t="s">
        <v>379</v>
      </c>
      <c r="B20" s="192" t="s">
        <v>260</v>
      </c>
      <c r="C20" s="193">
        <v>370.24400000000003</v>
      </c>
      <c r="D20" s="193">
        <f t="shared" si="0"/>
        <v>354.76799999999997</v>
      </c>
      <c r="E20" s="194">
        <f t="shared" si="1"/>
        <v>0.95820053802357352</v>
      </c>
      <c r="F20" s="258"/>
      <c r="G20" s="258" t="s">
        <v>260</v>
      </c>
      <c r="H20" s="76">
        <v>354.76799999999997</v>
      </c>
    </row>
    <row r="21" spans="1:10" hidden="1">
      <c r="A21" s="193" t="s">
        <v>285</v>
      </c>
      <c r="B21" s="192" t="s">
        <v>261</v>
      </c>
      <c r="C21" s="193">
        <v>495.01299999999998</v>
      </c>
      <c r="D21" s="193">
        <f t="shared" si="0"/>
        <v>480.99299999999999</v>
      </c>
      <c r="E21" s="194">
        <f t="shared" si="1"/>
        <v>0.97167751149969805</v>
      </c>
      <c r="F21" s="259"/>
      <c r="G21" s="259" t="s">
        <v>261</v>
      </c>
      <c r="H21" s="77">
        <v>480.99299999999999</v>
      </c>
    </row>
    <row r="22" spans="1:10">
      <c r="A22" s="193" t="s">
        <v>279</v>
      </c>
      <c r="B22" s="192" t="s">
        <v>184</v>
      </c>
      <c r="C22" s="193">
        <v>263.33300000000003</v>
      </c>
      <c r="D22" s="193">
        <v>263.18299999999999</v>
      </c>
      <c r="E22" s="194">
        <f t="shared" si="1"/>
        <v>0.99943037902579612</v>
      </c>
      <c r="F22" s="258"/>
      <c r="G22" s="258" t="s">
        <v>184</v>
      </c>
      <c r="H22" s="76">
        <v>262.38600000000002</v>
      </c>
      <c r="I22" s="88"/>
    </row>
    <row r="23" spans="1:10" hidden="1">
      <c r="A23" s="193" t="s">
        <v>280</v>
      </c>
      <c r="B23" s="191" t="s">
        <v>262</v>
      </c>
      <c r="C23" s="193">
        <v>835.548</v>
      </c>
      <c r="D23" s="193">
        <f t="shared" si="0"/>
        <v>833.03599999999994</v>
      </c>
      <c r="E23" s="194">
        <f t="shared" si="1"/>
        <v>0.99699358983565267</v>
      </c>
      <c r="F23" s="258"/>
      <c r="G23" s="258" t="s">
        <v>262</v>
      </c>
      <c r="H23" s="76">
        <v>833.03599999999994</v>
      </c>
      <c r="I23" s="88"/>
    </row>
    <row r="24" spans="1:10" hidden="1">
      <c r="A24" s="193" t="s">
        <v>286</v>
      </c>
      <c r="B24" s="191" t="s">
        <v>263</v>
      </c>
      <c r="C24" s="193">
        <v>905.84799999999996</v>
      </c>
      <c r="D24" s="193">
        <f t="shared" si="0"/>
        <v>908.83799999999997</v>
      </c>
      <c r="E24" s="194">
        <f t="shared" si="1"/>
        <v>1.0033007745228779</v>
      </c>
      <c r="F24" s="258"/>
      <c r="G24" s="258" t="s">
        <v>263</v>
      </c>
      <c r="H24" s="76">
        <v>908.83799999999997</v>
      </c>
      <c r="I24" s="88"/>
    </row>
    <row r="25" spans="1:10" hidden="1">
      <c r="A25" s="193" t="s">
        <v>380</v>
      </c>
      <c r="B25" s="191" t="s">
        <v>264</v>
      </c>
      <c r="C25" s="193">
        <v>835.39</v>
      </c>
      <c r="D25" s="193">
        <f t="shared" si="0"/>
        <v>830.779</v>
      </c>
      <c r="E25" s="194">
        <f t="shared" si="1"/>
        <v>0.99448042231771983</v>
      </c>
      <c r="F25" s="258"/>
      <c r="G25" s="258" t="s">
        <v>264</v>
      </c>
      <c r="H25" s="76">
        <v>830.779</v>
      </c>
      <c r="I25" s="88"/>
    </row>
    <row r="26" spans="1:10" hidden="1">
      <c r="A26" s="193" t="s">
        <v>281</v>
      </c>
      <c r="B26" s="191" t="s">
        <v>265</v>
      </c>
      <c r="C26" s="193">
        <v>139.898</v>
      </c>
      <c r="D26" s="193">
        <f t="shared" si="0"/>
        <v>142.316</v>
      </c>
      <c r="E26" s="194">
        <f>D26/C26</f>
        <v>1.017284021215457</v>
      </c>
      <c r="F26" s="258"/>
      <c r="G26" s="258" t="s">
        <v>265</v>
      </c>
      <c r="H26" s="76">
        <v>142.316</v>
      </c>
      <c r="I26" s="88"/>
    </row>
    <row r="27" spans="1:10" hidden="1">
      <c r="A27" s="193" t="s">
        <v>287</v>
      </c>
      <c r="B27" s="191" t="s">
        <v>266</v>
      </c>
      <c r="C27" s="193">
        <v>170.00399999999999</v>
      </c>
      <c r="D27" s="193">
        <f t="shared" si="0"/>
        <v>161.66300000000001</v>
      </c>
      <c r="E27" s="194">
        <f>D27/C27</f>
        <v>0.95093644855415183</v>
      </c>
      <c r="F27" s="258"/>
      <c r="G27" s="258" t="s">
        <v>266</v>
      </c>
      <c r="H27" s="76">
        <v>161.66300000000001</v>
      </c>
    </row>
    <row r="28" spans="1:10" hidden="1">
      <c r="A28" s="193" t="s">
        <v>288</v>
      </c>
      <c r="B28" s="192" t="s">
        <v>267</v>
      </c>
      <c r="C28" s="193">
        <v>159.239</v>
      </c>
      <c r="D28" s="193">
        <f t="shared" si="0"/>
        <v>157.602</v>
      </c>
      <c r="E28" s="194">
        <f>D28/C28</f>
        <v>0.98971985506063209</v>
      </c>
      <c r="G28" s="260" t="s">
        <v>267</v>
      </c>
      <c r="H28" s="81">
        <v>157.602</v>
      </c>
      <c r="I28" s="5"/>
      <c r="J28" s="5"/>
    </row>
    <row r="29" spans="1:10" s="5" customFormat="1" hidden="1">
      <c r="A29" s="193" t="s">
        <v>381</v>
      </c>
      <c r="B29" s="192" t="s">
        <v>372</v>
      </c>
      <c r="C29" s="193">
        <v>146.32499999999999</v>
      </c>
      <c r="D29" s="193">
        <f t="shared" si="0"/>
        <v>142.61799999999999</v>
      </c>
      <c r="E29" s="194">
        <f t="shared" ref="E29:E33" si="2">D29/C29</f>
        <v>0.97466598325644971</v>
      </c>
      <c r="F29" s="257"/>
      <c r="G29" s="257" t="s">
        <v>372</v>
      </c>
      <c r="H29" s="74">
        <v>142.61799999999999</v>
      </c>
      <c r="I29" s="233"/>
      <c r="J29" s="233"/>
    </row>
    <row r="30" spans="1:10" hidden="1">
      <c r="A30" s="193" t="s">
        <v>382</v>
      </c>
      <c r="B30" s="192" t="s">
        <v>373</v>
      </c>
      <c r="C30" s="193">
        <v>137.001</v>
      </c>
      <c r="D30" s="193">
        <f t="shared" si="0"/>
        <v>135.55600000000001</v>
      </c>
      <c r="E30" s="194">
        <f t="shared" si="2"/>
        <v>0.98945263173261511</v>
      </c>
      <c r="F30" s="258"/>
      <c r="G30" s="258" t="s">
        <v>373</v>
      </c>
      <c r="H30" s="76">
        <v>135.55600000000001</v>
      </c>
      <c r="I30" s="88"/>
    </row>
    <row r="31" spans="1:10" hidden="1">
      <c r="A31" s="193" t="s">
        <v>383</v>
      </c>
      <c r="B31" s="192" t="s">
        <v>374</v>
      </c>
      <c r="C31" s="193">
        <v>142.49600000000001</v>
      </c>
      <c r="D31" s="193">
        <f t="shared" si="0"/>
        <v>139.85400000000001</v>
      </c>
      <c r="E31" s="194">
        <f t="shared" si="2"/>
        <v>0.98145912867729623</v>
      </c>
      <c r="F31" s="258"/>
      <c r="G31" s="258" t="s">
        <v>374</v>
      </c>
      <c r="H31" s="76">
        <v>139.85400000000001</v>
      </c>
      <c r="I31" s="88"/>
    </row>
    <row r="32" spans="1:10" hidden="1">
      <c r="A32" s="193" t="s">
        <v>384</v>
      </c>
      <c r="B32" s="192" t="s">
        <v>375</v>
      </c>
      <c r="C32" s="193">
        <v>144.82599999999999</v>
      </c>
      <c r="D32" s="193">
        <f t="shared" si="0"/>
        <v>144.38999999999999</v>
      </c>
      <c r="E32" s="194">
        <f t="shared" si="2"/>
        <v>0.9969894908372805</v>
      </c>
      <c r="F32" s="258"/>
      <c r="G32" s="258" t="s">
        <v>375</v>
      </c>
      <c r="H32" s="76">
        <v>144.38999999999999</v>
      </c>
    </row>
    <row r="33" spans="1:14" hidden="1">
      <c r="A33" s="193" t="s">
        <v>385</v>
      </c>
      <c r="B33" s="192" t="s">
        <v>376</v>
      </c>
      <c r="C33" s="193">
        <v>117.68</v>
      </c>
      <c r="D33" s="193">
        <f t="shared" si="0"/>
        <v>114.631</v>
      </c>
      <c r="E33" s="194">
        <f t="shared" si="2"/>
        <v>0.97409075458871508</v>
      </c>
      <c r="F33" s="256"/>
      <c r="G33" s="256" t="s">
        <v>376</v>
      </c>
      <c r="H33" s="236">
        <v>114.631</v>
      </c>
      <c r="K33" s="234"/>
      <c r="L33" s="234"/>
      <c r="M33" s="234"/>
      <c r="N33" s="234"/>
    </row>
    <row r="34" spans="1:14" hidden="1">
      <c r="A34" s="266"/>
      <c r="B34" s="13"/>
      <c r="C34" s="266"/>
      <c r="D34" s="266"/>
      <c r="E34" s="266"/>
      <c r="F34" s="256"/>
      <c r="G34" s="256"/>
      <c r="H34" s="236"/>
      <c r="K34" s="234"/>
      <c r="L34" s="234"/>
      <c r="M34" s="234"/>
      <c r="N34" s="234"/>
    </row>
    <row r="35" spans="1:14" hidden="1">
      <c r="A35" s="8"/>
      <c r="B35" s="7"/>
      <c r="C35" s="8"/>
      <c r="D35" s="8"/>
      <c r="E35" s="8"/>
      <c r="F35" s="256"/>
      <c r="G35" s="256"/>
      <c r="H35" s="236"/>
      <c r="K35" s="234"/>
      <c r="L35" s="234"/>
      <c r="M35" s="234"/>
      <c r="N35" s="234"/>
    </row>
    <row r="36" spans="1:14">
      <c r="A36" s="8"/>
      <c r="B36" s="7"/>
      <c r="C36" s="8"/>
      <c r="D36" s="8"/>
      <c r="E36" s="8"/>
      <c r="F36" s="256"/>
      <c r="G36" s="256"/>
      <c r="H36" s="236"/>
      <c r="K36" s="234"/>
      <c r="L36" s="234"/>
      <c r="M36" s="234"/>
      <c r="N36" s="234"/>
    </row>
    <row r="37" spans="1:14">
      <c r="A37" s="8"/>
      <c r="B37" s="7"/>
      <c r="C37" s="8"/>
      <c r="D37" s="8"/>
      <c r="E37" s="8"/>
      <c r="F37" s="256"/>
      <c r="G37" s="256"/>
      <c r="H37" s="236"/>
      <c r="K37" s="234"/>
      <c r="L37" s="234"/>
      <c r="M37" s="234"/>
      <c r="N37" s="234"/>
    </row>
    <row r="38" spans="1:14">
      <c r="A38" s="8"/>
      <c r="B38" s="7"/>
      <c r="C38" s="8"/>
      <c r="D38" s="8"/>
      <c r="E38" s="8"/>
      <c r="F38" s="256"/>
      <c r="G38" s="256"/>
      <c r="H38" s="236"/>
      <c r="K38" s="234"/>
      <c r="L38" s="234"/>
      <c r="M38" s="234"/>
      <c r="N38" s="234"/>
    </row>
    <row r="39" spans="1:14">
      <c r="A39" s="8"/>
      <c r="B39" s="7"/>
      <c r="C39" s="8"/>
      <c r="D39" s="8"/>
      <c r="E39" s="8"/>
      <c r="F39" s="256"/>
      <c r="G39" s="256"/>
      <c r="H39" s="236"/>
      <c r="K39" s="234"/>
      <c r="L39" s="234"/>
      <c r="M39" s="234"/>
      <c r="N39" s="234"/>
    </row>
    <row r="40" spans="1:14">
      <c r="A40" s="8"/>
      <c r="B40" s="7"/>
      <c r="C40" s="8"/>
      <c r="D40" s="8"/>
      <c r="E40" s="8"/>
      <c r="F40" s="256"/>
      <c r="G40" s="256"/>
      <c r="H40" s="236"/>
      <c r="K40" s="234"/>
      <c r="L40" s="234"/>
      <c r="M40" s="234"/>
      <c r="N40" s="234"/>
    </row>
    <row r="41" spans="1:14">
      <c r="A41" s="8"/>
      <c r="B41" s="7"/>
      <c r="C41" s="8"/>
      <c r="D41" s="8"/>
      <c r="E41" s="8"/>
      <c r="F41" s="256"/>
      <c r="G41" s="256"/>
      <c r="H41" s="236"/>
      <c r="K41" s="234"/>
      <c r="L41" s="234"/>
      <c r="M41" s="234"/>
      <c r="N41" s="234"/>
    </row>
    <row r="42" spans="1:14">
      <c r="A42" s="8"/>
      <c r="B42" s="7"/>
      <c r="C42" s="8"/>
      <c r="D42" s="8"/>
      <c r="E42" s="8"/>
      <c r="F42" s="256"/>
      <c r="G42" s="256"/>
      <c r="H42" s="236"/>
      <c r="K42" s="234"/>
      <c r="L42" s="234"/>
      <c r="M42" s="234"/>
      <c r="N42" s="234"/>
    </row>
    <row r="43" spans="1:14">
      <c r="A43" s="8"/>
      <c r="B43" s="7"/>
      <c r="C43" s="8"/>
      <c r="D43" s="8"/>
      <c r="E43" s="8"/>
      <c r="F43" s="256"/>
      <c r="G43" s="256"/>
      <c r="H43" s="236"/>
      <c r="K43" s="234"/>
      <c r="L43" s="234"/>
      <c r="M43" s="234"/>
      <c r="N43" s="234"/>
    </row>
    <row r="44" spans="1:14">
      <c r="A44" s="8"/>
      <c r="B44" s="7"/>
      <c r="C44" s="8"/>
      <c r="D44" s="8"/>
      <c r="E44" s="8"/>
      <c r="F44" s="256"/>
      <c r="G44" s="256"/>
      <c r="H44" s="236"/>
      <c r="K44" s="234"/>
      <c r="L44" s="234"/>
      <c r="M44" s="234"/>
      <c r="N44" s="234"/>
    </row>
    <row r="45" spans="1:14">
      <c r="A45" s="8"/>
      <c r="B45" s="7"/>
      <c r="C45" s="8"/>
      <c r="D45" s="8"/>
      <c r="E45" s="8"/>
      <c r="F45" s="256"/>
      <c r="G45" s="256"/>
      <c r="H45" s="236"/>
      <c r="K45" s="234"/>
      <c r="L45" s="234"/>
      <c r="M45" s="234"/>
      <c r="N45" s="234"/>
    </row>
    <row r="46" spans="1:14">
      <c r="A46" s="8"/>
      <c r="B46" s="7"/>
      <c r="C46" s="8"/>
      <c r="D46" s="8"/>
      <c r="E46" s="8"/>
      <c r="F46" s="256"/>
      <c r="G46" s="256"/>
      <c r="H46" s="236"/>
      <c r="K46" s="234"/>
      <c r="L46" s="234"/>
      <c r="M46" s="234"/>
      <c r="N46" s="234"/>
    </row>
    <row r="47" spans="1:14">
      <c r="A47" s="8"/>
      <c r="B47" s="7"/>
      <c r="C47" s="8"/>
      <c r="D47" s="8"/>
      <c r="E47" s="8"/>
      <c r="F47" s="256"/>
      <c r="G47" s="256"/>
      <c r="H47" s="236"/>
      <c r="K47" s="234"/>
      <c r="L47" s="234"/>
      <c r="M47" s="234"/>
      <c r="N47" s="234"/>
    </row>
    <row r="48" spans="1:14">
      <c r="A48" s="8"/>
      <c r="B48" s="7"/>
      <c r="C48" s="8"/>
      <c r="D48" s="8"/>
      <c r="E48" s="8"/>
      <c r="F48" s="256"/>
      <c r="G48" s="256"/>
      <c r="H48" s="236"/>
      <c r="K48" s="234"/>
      <c r="L48" s="234"/>
      <c r="M48" s="234"/>
      <c r="N48" s="234"/>
    </row>
    <row r="49" spans="1:14">
      <c r="A49" s="8"/>
      <c r="B49" s="7"/>
      <c r="C49" s="8"/>
      <c r="D49" s="8"/>
      <c r="E49" s="8"/>
      <c r="F49" s="256"/>
      <c r="G49" s="256"/>
      <c r="H49" s="236"/>
      <c r="K49" s="234"/>
      <c r="L49" s="234"/>
      <c r="M49" s="234"/>
      <c r="N49" s="234"/>
    </row>
    <row r="50" spans="1:14">
      <c r="A50" s="8"/>
      <c r="B50" s="7"/>
      <c r="C50" s="8"/>
      <c r="D50" s="8"/>
      <c r="E50" s="8"/>
      <c r="F50" s="256"/>
      <c r="G50" s="256"/>
      <c r="H50" s="236"/>
      <c r="K50" s="234"/>
      <c r="L50" s="234"/>
      <c r="M50" s="234"/>
      <c r="N50" s="234"/>
    </row>
    <row r="51" spans="1:14">
      <c r="A51" s="8"/>
      <c r="B51" s="7"/>
      <c r="C51" s="8"/>
      <c r="D51" s="8"/>
      <c r="E51" s="8"/>
      <c r="F51" s="256"/>
      <c r="G51" s="256"/>
      <c r="H51" s="236"/>
      <c r="K51" s="234"/>
      <c r="L51" s="234"/>
      <c r="M51" s="234"/>
      <c r="N51" s="234"/>
    </row>
    <row r="52" spans="1:14">
      <c r="A52" s="8"/>
      <c r="B52" s="7"/>
      <c r="C52" s="8"/>
      <c r="D52" s="8"/>
      <c r="E52" s="8"/>
      <c r="F52" s="256"/>
      <c r="G52" s="256"/>
      <c r="H52" s="236"/>
      <c r="K52" s="234"/>
      <c r="L52" s="234"/>
      <c r="M52" s="234"/>
      <c r="N52" s="234"/>
    </row>
    <row r="53" spans="1:14">
      <c r="A53" s="8"/>
      <c r="B53" s="7"/>
      <c r="C53" s="8"/>
      <c r="D53" s="8"/>
      <c r="E53" s="8"/>
      <c r="F53" s="256"/>
      <c r="G53" s="256"/>
      <c r="H53" s="236"/>
      <c r="K53" s="234"/>
      <c r="L53" s="234"/>
      <c r="M53" s="234"/>
      <c r="N53" s="234"/>
    </row>
    <row r="54" spans="1:14">
      <c r="A54" s="8"/>
      <c r="B54" s="7"/>
      <c r="C54" s="8"/>
      <c r="D54" s="8"/>
      <c r="E54" s="8"/>
      <c r="F54" s="256"/>
      <c r="G54" s="256"/>
      <c r="H54" s="236"/>
      <c r="K54" s="234"/>
      <c r="L54" s="234"/>
      <c r="M54" s="234"/>
      <c r="N54" s="234"/>
    </row>
    <row r="55" spans="1:14">
      <c r="A55" s="8"/>
      <c r="B55" s="7"/>
      <c r="C55" s="8"/>
      <c r="D55" s="8"/>
      <c r="E55" s="8"/>
      <c r="F55" s="256"/>
      <c r="G55" s="256"/>
      <c r="H55" s="236"/>
      <c r="K55" s="234"/>
      <c r="L55" s="234"/>
      <c r="M55" s="234"/>
      <c r="N55" s="234"/>
    </row>
    <row r="56" spans="1:14">
      <c r="A56" s="8"/>
      <c r="B56" s="7"/>
      <c r="C56" s="8"/>
      <c r="D56" s="8"/>
      <c r="E56" s="8"/>
      <c r="F56" s="256"/>
      <c r="G56" s="256"/>
      <c r="H56" s="236"/>
      <c r="K56" s="234"/>
      <c r="L56" s="234"/>
      <c r="M56" s="234"/>
      <c r="N56" s="234"/>
    </row>
    <row r="57" spans="1:14">
      <c r="A57" s="8"/>
      <c r="B57" s="7"/>
      <c r="C57" s="8"/>
      <c r="D57" s="8"/>
      <c r="E57" s="8"/>
      <c r="F57" s="256"/>
      <c r="G57" s="256"/>
      <c r="H57" s="236"/>
      <c r="K57" s="234"/>
      <c r="L57" s="234"/>
      <c r="M57" s="234"/>
      <c r="N57" s="234"/>
    </row>
    <row r="58" spans="1:14">
      <c r="A58" s="8"/>
      <c r="B58" s="7"/>
      <c r="C58" s="8"/>
      <c r="D58" s="8"/>
      <c r="E58" s="8"/>
      <c r="F58" s="256"/>
      <c r="G58" s="256"/>
      <c r="H58" s="236"/>
      <c r="K58" s="234"/>
      <c r="L58" s="234"/>
      <c r="M58" s="234"/>
      <c r="N58" s="234"/>
    </row>
    <row r="59" spans="1:14">
      <c r="A59" s="8"/>
      <c r="B59" s="7"/>
      <c r="C59" s="8"/>
      <c r="D59" s="8"/>
      <c r="E59" s="8"/>
      <c r="F59" s="256"/>
      <c r="G59" s="256"/>
      <c r="H59" s="236"/>
      <c r="K59" s="234"/>
      <c r="L59" s="234"/>
      <c r="M59" s="234"/>
      <c r="N59" s="234"/>
    </row>
    <row r="60" spans="1:14">
      <c r="A60" s="7"/>
      <c r="B60" s="7"/>
      <c r="C60" s="8"/>
      <c r="D60" s="8"/>
      <c r="E60" s="8"/>
      <c r="F60" s="256"/>
      <c r="G60" s="256"/>
      <c r="H60" s="236"/>
      <c r="K60" s="234"/>
      <c r="L60" s="234"/>
      <c r="M60" s="234"/>
      <c r="N60" s="234"/>
    </row>
    <row r="61" spans="1:14">
      <c r="A61" s="7"/>
      <c r="B61" s="7"/>
      <c r="C61" s="8"/>
      <c r="D61" s="8"/>
      <c r="E61" s="8"/>
      <c r="F61" s="256"/>
      <c r="G61" s="256"/>
      <c r="H61" s="236"/>
    </row>
    <row r="62" spans="1:14">
      <c r="A62" s="7"/>
      <c r="B62" s="7"/>
      <c r="C62" s="8"/>
      <c r="D62" s="8"/>
      <c r="E62" s="8"/>
      <c r="F62" s="256"/>
      <c r="G62" s="256"/>
      <c r="H62" s="236"/>
    </row>
    <row r="63" spans="1:14">
      <c r="A63" s="7"/>
      <c r="B63" s="7"/>
      <c r="C63" s="8"/>
      <c r="D63" s="31"/>
      <c r="E63" s="332"/>
      <c r="F63" s="256"/>
      <c r="G63" s="256"/>
      <c r="H63" s="236"/>
    </row>
    <row r="64" spans="1:14">
      <c r="A64" s="7"/>
      <c r="B64" s="7"/>
      <c r="C64" s="8"/>
      <c r="D64" s="8"/>
      <c r="E64" s="8"/>
      <c r="F64" s="261"/>
      <c r="G64" s="261"/>
      <c r="H64" s="79"/>
    </row>
    <row r="65" spans="1:14" s="235" customFormat="1">
      <c r="A65" s="233"/>
      <c r="B65" s="233"/>
      <c r="C65" s="262"/>
      <c r="D65" s="262"/>
      <c r="E65" s="262"/>
      <c r="F65" s="256"/>
      <c r="G65" s="256"/>
      <c r="H65" s="236"/>
      <c r="I65" s="233"/>
      <c r="J65" s="233"/>
      <c r="K65" s="233"/>
      <c r="L65" s="233"/>
      <c r="M65" s="233"/>
      <c r="N65" s="233"/>
    </row>
    <row r="67" spans="1:14" s="235" customFormat="1">
      <c r="A67" s="233"/>
      <c r="B67" s="233"/>
      <c r="C67" s="262"/>
      <c r="D67" s="262"/>
      <c r="E67" s="262"/>
      <c r="F67" s="260"/>
      <c r="G67" s="260"/>
      <c r="H67" s="81"/>
      <c r="I67" s="233"/>
      <c r="J67" s="233"/>
      <c r="K67" s="233"/>
      <c r="L67" s="233"/>
      <c r="M67" s="233"/>
      <c r="N67" s="233"/>
    </row>
    <row r="68" spans="1:14" s="235" customFormat="1">
      <c r="A68" s="233"/>
      <c r="B68" s="233"/>
      <c r="C68" s="262"/>
      <c r="D68" s="262"/>
      <c r="E68" s="262"/>
      <c r="F68" s="260"/>
      <c r="G68" s="260"/>
      <c r="H68" s="80"/>
      <c r="I68" s="233"/>
      <c r="J68" s="233"/>
      <c r="K68" s="233"/>
      <c r="L68" s="233"/>
      <c r="M68" s="233"/>
      <c r="N68" s="233"/>
    </row>
    <row r="69" spans="1:14" s="235" customFormat="1">
      <c r="A69" s="233"/>
      <c r="B69" s="233"/>
      <c r="C69" s="262"/>
      <c r="D69" s="262"/>
      <c r="E69" s="262"/>
      <c r="F69" s="260"/>
      <c r="G69" s="260"/>
      <c r="H69" s="81"/>
      <c r="I69" s="233"/>
      <c r="J69" s="233"/>
      <c r="K69" s="233"/>
      <c r="L69" s="233"/>
      <c r="M69" s="233"/>
      <c r="N69" s="233"/>
    </row>
  </sheetData>
  <mergeCells count="4">
    <mergeCell ref="C2:D2"/>
    <mergeCell ref="C3:D3"/>
    <mergeCell ref="B1:E1"/>
    <mergeCell ref="A1:A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  <headerFooter>
    <oddFooter>&amp;CEng° Darcio Pagani Vieira
Crea/SC - 077.222-9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view="pageBreakPreview" zoomScaleNormal="100" zoomScaleSheetLayoutView="100" workbookViewId="0">
      <selection activeCell="B17" sqref="B17"/>
    </sheetView>
  </sheetViews>
  <sheetFormatPr defaultRowHeight="15"/>
  <cols>
    <col min="1" max="1" width="16.42578125" customWidth="1"/>
    <col min="2" max="2" width="66.28515625" style="233" customWidth="1"/>
    <col min="3" max="3" width="30.42578125" bestFit="1" customWidth="1"/>
    <col min="4" max="4" width="29.85546875" bestFit="1" customWidth="1"/>
    <col min="5" max="5" width="25.28515625" customWidth="1"/>
    <col min="6" max="6" width="9.5703125" bestFit="1" customWidth="1"/>
  </cols>
  <sheetData>
    <row r="1" spans="1:6" ht="49.5" customHeight="1">
      <c r="A1" s="772" t="s">
        <v>393</v>
      </c>
      <c r="B1" s="771" t="s">
        <v>173</v>
      </c>
      <c r="C1" s="771"/>
      <c r="D1" s="771"/>
      <c r="E1" s="293"/>
    </row>
    <row r="2" spans="1:6" ht="15.75" customHeight="1">
      <c r="A2" s="773"/>
      <c r="B2" s="333" t="str">
        <f>TRILHA!$G$2</f>
        <v>PREFEITURA MUNICIPAL DE MARACAJÁ</v>
      </c>
      <c r="C2" s="334" t="str">
        <f>TRILHA!$I$2</f>
        <v>BAIRRO: GARAJUVA</v>
      </c>
      <c r="D2" s="334" t="str">
        <f>TRILHA!$M$2</f>
        <v>ESTADO: SANTA CATARINA</v>
      </c>
      <c r="E2" s="294"/>
    </row>
    <row r="3" spans="1:6" ht="15.75" customHeight="1">
      <c r="A3" s="774"/>
      <c r="B3" s="434" t="str">
        <f>TRILHA!G3</f>
        <v>TRILHA SUSPENSA - PARQUE ECOLÓGICO</v>
      </c>
      <c r="C3" s="333" t="str">
        <f>TRILHA!$K$2</f>
        <v>MUNICIPIO: MARACAJÁ</v>
      </c>
      <c r="D3" s="335" t="str">
        <f ca="1">TRILHA!$M$3</f>
        <v>DATA: 07/08/24</v>
      </c>
      <c r="E3" s="295"/>
    </row>
    <row r="4" spans="1:6" ht="15.75">
      <c r="A4" s="291"/>
      <c r="B4" s="290"/>
      <c r="C4" s="101"/>
      <c r="D4" s="101"/>
      <c r="E4" s="292"/>
    </row>
    <row r="5" spans="1:6" ht="41.25" customHeight="1">
      <c r="A5" s="289" t="s">
        <v>174</v>
      </c>
      <c r="B5" s="789" t="s">
        <v>175</v>
      </c>
      <c r="C5" s="790"/>
      <c r="D5" s="790"/>
      <c r="E5" s="791"/>
    </row>
    <row r="6" spans="1:6" ht="18.75" customHeight="1">
      <c r="A6" s="365" t="s">
        <v>176</v>
      </c>
      <c r="B6" s="781" t="s">
        <v>177</v>
      </c>
      <c r="C6" s="782"/>
      <c r="D6" s="366" t="s">
        <v>361</v>
      </c>
      <c r="E6" s="367" t="s">
        <v>178</v>
      </c>
    </row>
    <row r="7" spans="1:6" s="233" customFormat="1" ht="18.75" customHeight="1">
      <c r="A7" s="368">
        <v>45413</v>
      </c>
      <c r="B7" s="783" t="s">
        <v>179</v>
      </c>
      <c r="C7" s="784"/>
      <c r="D7" s="287" t="s">
        <v>362</v>
      </c>
      <c r="E7" s="383">
        <v>2.60560948219721</v>
      </c>
      <c r="F7" s="102"/>
    </row>
    <row r="8" spans="1:6" s="233" customFormat="1" ht="18.75" hidden="1" customHeight="1">
      <c r="A8" s="369">
        <v>45413</v>
      </c>
      <c r="B8" s="785" t="s">
        <v>389</v>
      </c>
      <c r="C8" s="786"/>
      <c r="D8" s="178" t="s">
        <v>362</v>
      </c>
      <c r="E8" s="384">
        <v>2.4787588363302699</v>
      </c>
    </row>
    <row r="9" spans="1:6" s="233" customFormat="1" hidden="1">
      <c r="A9" s="370">
        <v>45323</v>
      </c>
      <c r="B9" s="787" t="s">
        <v>243</v>
      </c>
      <c r="C9" s="788"/>
      <c r="D9" s="288" t="s">
        <v>362</v>
      </c>
      <c r="E9" s="385">
        <v>3.1291108185468501</v>
      </c>
    </row>
    <row r="10" spans="1:6" ht="18.75" customHeight="1">
      <c r="A10" s="775" t="s">
        <v>180</v>
      </c>
      <c r="B10" s="776"/>
      <c r="C10" s="776"/>
      <c r="D10" s="776"/>
      <c r="E10" s="777"/>
    </row>
    <row r="11" spans="1:6" s="103" customFormat="1" ht="18.75" customHeight="1">
      <c r="A11" s="778" t="s">
        <v>392</v>
      </c>
      <c r="B11" s="779"/>
      <c r="C11" s="779"/>
      <c r="D11" s="779"/>
      <c r="E11" s="780"/>
    </row>
    <row r="12" spans="1:6">
      <c r="A12" s="13"/>
      <c r="B12" s="13"/>
      <c r="C12" s="13"/>
      <c r="D12" s="13"/>
      <c r="E12" s="13"/>
    </row>
    <row r="13" spans="1:6">
      <c r="A13" s="7"/>
      <c r="B13" s="7"/>
      <c r="C13" s="7"/>
      <c r="D13" s="7"/>
      <c r="E13" s="7"/>
    </row>
    <row r="14" spans="1:6">
      <c r="A14" s="7"/>
      <c r="B14" s="7"/>
      <c r="C14" s="7"/>
      <c r="D14" s="7"/>
      <c r="E14" s="7"/>
    </row>
    <row r="15" spans="1:6">
      <c r="A15" s="7"/>
      <c r="B15" s="7"/>
      <c r="C15" s="7"/>
      <c r="D15" s="7"/>
      <c r="E15" s="7"/>
    </row>
    <row r="16" spans="1:6">
      <c r="A16" s="7"/>
      <c r="B16" s="7"/>
      <c r="C16" s="7"/>
      <c r="D16" s="7"/>
      <c r="E16" s="7"/>
    </row>
    <row r="17" spans="1:5">
      <c r="A17" s="7"/>
      <c r="B17" s="7"/>
      <c r="C17" s="7"/>
      <c r="D17" s="7"/>
      <c r="E17" s="7"/>
    </row>
    <row r="18" spans="1:5">
      <c r="A18" s="7"/>
      <c r="B18" s="7"/>
      <c r="C18" s="7"/>
      <c r="D18" s="7"/>
      <c r="E18" s="7"/>
    </row>
    <row r="19" spans="1:5">
      <c r="A19" s="7"/>
      <c r="B19" s="7"/>
      <c r="C19" s="7"/>
      <c r="D19" s="7"/>
      <c r="E19" s="7"/>
    </row>
    <row r="20" spans="1:5">
      <c r="A20" s="7"/>
      <c r="B20" s="7"/>
      <c r="C20" s="7"/>
      <c r="D20" s="7"/>
      <c r="E20" s="7"/>
    </row>
    <row r="21" spans="1:5" s="233" customFormat="1">
      <c r="A21" s="7"/>
      <c r="B21" s="7"/>
      <c r="C21" s="7"/>
      <c r="D21" s="7"/>
      <c r="E21" s="7"/>
    </row>
    <row r="22" spans="1:5" s="233" customFormat="1">
      <c r="A22" s="7"/>
      <c r="B22" s="7"/>
      <c r="C22" s="7"/>
      <c r="D22" s="7"/>
      <c r="E22" s="7"/>
    </row>
    <row r="23" spans="1:5">
      <c r="A23" s="7"/>
      <c r="B23" s="7"/>
      <c r="C23" s="7"/>
      <c r="D23" s="7"/>
      <c r="E23" s="7"/>
    </row>
    <row r="24" spans="1:5">
      <c r="A24" s="7"/>
      <c r="B24" s="7"/>
      <c r="C24" s="7"/>
      <c r="D24" s="7"/>
      <c r="E24" s="7"/>
    </row>
    <row r="25" spans="1:5">
      <c r="A25" s="7"/>
      <c r="B25" s="7"/>
      <c r="C25" s="7"/>
      <c r="D25" s="7"/>
      <c r="E25" s="7"/>
    </row>
    <row r="26" spans="1:5">
      <c r="A26" s="7"/>
      <c r="B26" s="7"/>
      <c r="C26" s="7"/>
      <c r="D26" s="7"/>
      <c r="E26" s="7"/>
    </row>
    <row r="27" spans="1:5">
      <c r="A27" s="7"/>
      <c r="B27" s="7"/>
      <c r="C27" s="7"/>
      <c r="D27" s="7"/>
      <c r="E27" s="7"/>
    </row>
    <row r="28" spans="1:5">
      <c r="A28" s="7"/>
      <c r="B28" s="7"/>
      <c r="C28" s="7"/>
      <c r="D28" s="7"/>
      <c r="E28" s="7"/>
    </row>
    <row r="29" spans="1:5">
      <c r="A29" s="7"/>
      <c r="B29" s="7"/>
      <c r="C29" s="7"/>
      <c r="D29" s="7"/>
      <c r="E29" s="7"/>
    </row>
    <row r="30" spans="1:5">
      <c r="A30" s="7"/>
      <c r="B30" s="7"/>
      <c r="C30" s="7"/>
      <c r="D30" s="7"/>
      <c r="E30" s="7"/>
    </row>
    <row r="31" spans="1:5">
      <c r="A31" s="7"/>
      <c r="B31" s="7"/>
      <c r="C31" s="7"/>
      <c r="D31" s="7"/>
      <c r="E31" s="7"/>
    </row>
    <row r="32" spans="1:5">
      <c r="A32" s="7"/>
      <c r="B32" s="7"/>
      <c r="C32" s="7"/>
      <c r="D32" s="7"/>
      <c r="E32" s="7"/>
    </row>
    <row r="33" spans="1:5">
      <c r="A33" s="7"/>
      <c r="B33" s="7"/>
      <c r="C33" s="7"/>
      <c r="D33" s="7"/>
      <c r="E33" s="7"/>
    </row>
    <row r="34" spans="1:5">
      <c r="A34" s="7"/>
      <c r="B34" s="7"/>
      <c r="C34" s="7"/>
      <c r="D34" s="7"/>
      <c r="E34" s="7"/>
    </row>
    <row r="35" spans="1:5">
      <c r="A35" s="7"/>
      <c r="B35" s="7"/>
      <c r="C35" s="7"/>
      <c r="D35" s="7"/>
      <c r="E35" s="7"/>
    </row>
  </sheetData>
  <mergeCells count="9">
    <mergeCell ref="B1:D1"/>
    <mergeCell ref="A1:A3"/>
    <mergeCell ref="A10:E10"/>
    <mergeCell ref="A11:E11"/>
    <mergeCell ref="B6:C6"/>
    <mergeCell ref="B7:C7"/>
    <mergeCell ref="B8:C8"/>
    <mergeCell ref="B9:C9"/>
    <mergeCell ref="B5:E5"/>
  </mergeCells>
  <hyperlinks>
    <hyperlink ref="A11" r:id="rId1" display="http://www.anp.gov.br/precos-e-defesa-da-concorrencia/precos/precos-de-distribuicao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horizontalDpi="300" verticalDpi="300" r:id="rId2"/>
  <headerFooter>
    <oddFooter>&amp;CEng° Darcio Pagani Vieira
Crea/SC - 077.222-9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showGridLines="0" tabSelected="1" view="pageBreakPreview" zoomScale="70" zoomScaleNormal="55" zoomScaleSheetLayoutView="70" workbookViewId="0">
      <pane ySplit="8" topLeftCell="A9" activePane="bottomLeft" state="frozen"/>
      <selection activeCell="D6" sqref="D6:D7"/>
      <selection pane="bottomLeft" activeCell="B14" sqref="B14"/>
    </sheetView>
  </sheetViews>
  <sheetFormatPr defaultRowHeight="15"/>
  <cols>
    <col min="1" max="1" width="15.140625" customWidth="1"/>
    <col min="2" max="2" width="69.28515625" customWidth="1"/>
    <col min="3" max="3" width="9.42578125" bestFit="1" customWidth="1"/>
    <col min="4" max="4" width="12.5703125" bestFit="1" customWidth="1"/>
    <col min="5" max="5" width="18.140625" hidden="1" customWidth="1"/>
    <col min="6" max="6" width="18.140625" style="190" hidden="1" customWidth="1"/>
    <col min="7" max="7" width="16.7109375" bestFit="1" customWidth="1"/>
    <col min="8" max="8" width="8.42578125" customWidth="1"/>
    <col min="9" max="9" width="16.85546875" bestFit="1" customWidth="1"/>
    <col min="10" max="10" width="19.140625" bestFit="1" customWidth="1"/>
    <col min="11" max="11" width="17.85546875" style="1" bestFit="1" customWidth="1"/>
    <col min="12" max="12" width="13.140625" style="1" customWidth="1"/>
    <col min="13" max="13" width="14.42578125" style="81" bestFit="1" customWidth="1"/>
    <col min="14" max="14" width="15.5703125" style="81" customWidth="1"/>
    <col min="15" max="15" width="9.140625" style="16"/>
    <col min="16" max="16" width="11.5703125" bestFit="1" customWidth="1"/>
    <col min="17" max="18" width="9.28515625" bestFit="1" customWidth="1"/>
    <col min="19" max="19" width="8.7109375" bestFit="1" customWidth="1"/>
    <col min="20" max="20" width="12.28515625" bestFit="1" customWidth="1"/>
    <col min="21" max="21" width="12.7109375" bestFit="1" customWidth="1"/>
    <col min="22" max="22" width="16.42578125" bestFit="1" customWidth="1"/>
  </cols>
  <sheetData>
    <row r="1" spans="1:18" s="516" customFormat="1" ht="33.75">
      <c r="A1" s="547" t="s">
        <v>457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8"/>
      <c r="N1" s="514"/>
      <c r="O1" s="514"/>
      <c r="P1" s="514"/>
      <c r="Q1" s="515"/>
    </row>
    <row r="2" spans="1:18" ht="39.75" customHeight="1">
      <c r="A2" s="518"/>
      <c r="B2" s="517" t="s">
        <v>0</v>
      </c>
      <c r="C2" s="536" t="s">
        <v>456</v>
      </c>
      <c r="D2" s="537"/>
      <c r="E2" s="537"/>
      <c r="F2" s="537"/>
      <c r="G2" s="537"/>
      <c r="H2" s="537"/>
      <c r="I2" s="537"/>
      <c r="J2" s="537"/>
      <c r="K2" s="537"/>
      <c r="L2" s="538"/>
      <c r="M2" s="72"/>
      <c r="N2" s="72"/>
    </row>
    <row r="3" spans="1:18" s="282" customFormat="1" ht="15.75">
      <c r="A3" s="518"/>
      <c r="B3" s="320" t="str">
        <f>TRILHA!$G$2</f>
        <v>PREFEITURA MUNICIPAL DE MARACAJÁ</v>
      </c>
      <c r="C3" s="519" t="str">
        <f>TRILHA!$I$2</f>
        <v>BAIRRO: GARAJUVA</v>
      </c>
      <c r="D3" s="519"/>
      <c r="E3" s="519"/>
      <c r="F3" s="519"/>
      <c r="G3" s="519"/>
      <c r="H3" s="520" t="str">
        <f>TRILHA!$K$2</f>
        <v>MUNICIPIO: MARACAJÁ</v>
      </c>
      <c r="I3" s="520"/>
      <c r="J3" s="519" t="str">
        <f>TRILHA!$M$2</f>
        <v>ESTADO: SANTA CATARINA</v>
      </c>
      <c r="K3" s="519"/>
      <c r="L3" s="519"/>
      <c r="M3" s="318"/>
      <c r="N3" s="318"/>
      <c r="O3" s="319"/>
    </row>
    <row r="4" spans="1:18" s="282" customFormat="1" ht="15.75">
      <c r="A4" s="518"/>
      <c r="B4" s="519" t="str">
        <f>TRILHA!G3</f>
        <v>TRILHA SUSPENSA - PARQUE ECOLÓGICO</v>
      </c>
      <c r="C4" s="519"/>
      <c r="D4" s="519"/>
      <c r="E4" s="519"/>
      <c r="F4" s="519"/>
      <c r="G4" s="519"/>
      <c r="H4" s="519"/>
      <c r="I4" s="519"/>
      <c r="J4" s="521" t="str">
        <f ca="1">TRILHA!$M$3</f>
        <v>DATA: 07/08/24</v>
      </c>
      <c r="K4" s="521"/>
      <c r="L4" s="521"/>
      <c r="M4" s="318"/>
      <c r="N4" s="318"/>
      <c r="O4" s="319"/>
    </row>
    <row r="5" spans="1:18">
      <c r="A5" s="228"/>
      <c r="B5" s="221"/>
      <c r="C5" s="221"/>
      <c r="D5" s="524"/>
      <c r="E5" s="524"/>
      <c r="F5" s="524"/>
      <c r="G5" s="524"/>
      <c r="H5" s="221"/>
      <c r="I5" s="221"/>
      <c r="J5" s="223"/>
      <c r="K5" s="224"/>
      <c r="L5" s="229"/>
      <c r="M5" s="73"/>
      <c r="N5" s="73"/>
    </row>
    <row r="6" spans="1:18">
      <c r="A6" s="525" t="s">
        <v>417</v>
      </c>
      <c r="B6" s="526" t="s">
        <v>2</v>
      </c>
      <c r="C6" s="526" t="s">
        <v>3</v>
      </c>
      <c r="D6" s="526" t="s">
        <v>4</v>
      </c>
      <c r="E6" s="527" t="s">
        <v>290</v>
      </c>
      <c r="F6" s="527" t="s">
        <v>291</v>
      </c>
      <c r="G6" s="526" t="s">
        <v>5</v>
      </c>
      <c r="H6" s="526"/>
      <c r="I6" s="526"/>
      <c r="J6" s="526"/>
      <c r="K6" s="526" t="s">
        <v>9</v>
      </c>
      <c r="L6" s="525" t="s">
        <v>10</v>
      </c>
      <c r="M6" s="74"/>
      <c r="N6" s="74"/>
    </row>
    <row r="7" spans="1:18">
      <c r="A7" s="525"/>
      <c r="B7" s="526"/>
      <c r="C7" s="526"/>
      <c r="D7" s="526"/>
      <c r="E7" s="527"/>
      <c r="F7" s="527"/>
      <c r="G7" s="321" t="s">
        <v>6</v>
      </c>
      <c r="H7" s="321" t="s">
        <v>7</v>
      </c>
      <c r="I7" s="321" t="s">
        <v>11</v>
      </c>
      <c r="J7" s="321" t="s">
        <v>390</v>
      </c>
      <c r="K7" s="526"/>
      <c r="L7" s="525"/>
      <c r="M7" s="74"/>
      <c r="N7" s="74"/>
    </row>
    <row r="8" spans="1:18" s="5" customFormat="1">
      <c r="A8" s="416"/>
      <c r="B8" s="322"/>
      <c r="C8" s="322"/>
      <c r="D8" s="322"/>
      <c r="E8" s="322"/>
      <c r="F8" s="323"/>
      <c r="G8" s="322"/>
      <c r="H8" s="322"/>
      <c r="I8" s="322"/>
      <c r="J8" s="322"/>
      <c r="K8" s="323"/>
      <c r="L8" s="324"/>
      <c r="M8" s="75"/>
      <c r="N8" s="75"/>
      <c r="O8" s="17"/>
    </row>
    <row r="9" spans="1:18" s="5" customFormat="1">
      <c r="A9" s="471">
        <v>1</v>
      </c>
      <c r="B9" s="522" t="s">
        <v>524</v>
      </c>
      <c r="C9" s="522"/>
      <c r="D9" s="522"/>
      <c r="E9" s="522"/>
      <c r="F9" s="522"/>
      <c r="G9" s="522"/>
      <c r="H9" s="522"/>
      <c r="I9" s="522"/>
      <c r="J9" s="326">
        <f>J10</f>
        <v>49357.440000000002</v>
      </c>
      <c r="K9" s="523"/>
      <c r="L9" s="523"/>
      <c r="M9" s="74"/>
      <c r="N9" s="74"/>
      <c r="O9" s="17"/>
      <c r="Q9" s="32"/>
      <c r="R9" s="32"/>
    </row>
    <row r="10" spans="1:18" s="233" customFormat="1" ht="30">
      <c r="A10" s="193" t="s">
        <v>12</v>
      </c>
      <c r="B10" s="192" t="s">
        <v>525</v>
      </c>
      <c r="C10" s="435" t="s">
        <v>15</v>
      </c>
      <c r="D10" s="445">
        <f>TRILHA!M8</f>
        <v>1476</v>
      </c>
      <c r="E10" s="329"/>
      <c r="F10" s="329"/>
      <c r="G10" s="511">
        <v>27.7</v>
      </c>
      <c r="H10" s="439">
        <f>BDI!$F$30</f>
        <v>0.20730000000000001</v>
      </c>
      <c r="I10" s="440">
        <f>TRUNC(G10*(1+H10),2)</f>
        <v>33.44</v>
      </c>
      <c r="J10" s="441">
        <f>TRUNC(D10*I10,2)</f>
        <v>49357.440000000002</v>
      </c>
      <c r="K10" s="193" t="s">
        <v>545</v>
      </c>
      <c r="L10" s="442">
        <v>97643</v>
      </c>
      <c r="M10" s="76"/>
      <c r="N10" s="76"/>
      <c r="O10" s="235"/>
    </row>
    <row r="11" spans="1:18" s="5" customFormat="1">
      <c r="A11" s="325">
        <v>2</v>
      </c>
      <c r="B11" s="522" t="s">
        <v>500</v>
      </c>
      <c r="C11" s="522"/>
      <c r="D11" s="522"/>
      <c r="E11" s="522"/>
      <c r="F11" s="522"/>
      <c r="G11" s="522"/>
      <c r="H11" s="522"/>
      <c r="I11" s="522"/>
      <c r="J11" s="326">
        <f>SUM(J12:J19)</f>
        <v>1086706.22</v>
      </c>
      <c r="K11" s="523"/>
      <c r="L11" s="523"/>
      <c r="M11" s="74"/>
      <c r="N11" s="74"/>
      <c r="O11" s="17"/>
      <c r="Q11" s="32"/>
      <c r="R11" s="32"/>
    </row>
    <row r="12" spans="1:18" s="233" customFormat="1" ht="30">
      <c r="A12" s="193" t="s">
        <v>18</v>
      </c>
      <c r="B12" s="192" t="s">
        <v>548</v>
      </c>
      <c r="C12" s="435" t="s">
        <v>14</v>
      </c>
      <c r="D12" s="445">
        <f>TRILHA!M13</f>
        <v>246</v>
      </c>
      <c r="E12" s="329"/>
      <c r="F12" s="329"/>
      <c r="G12" s="511">
        <f>TRUNC(47.24*(486.712/483.417),2)</f>
        <v>47.56</v>
      </c>
      <c r="H12" s="439">
        <f>BDI!$F$30</f>
        <v>0.20730000000000001</v>
      </c>
      <c r="I12" s="440">
        <f>TRUNC(G12*(1+H12),2)</f>
        <v>57.41</v>
      </c>
      <c r="J12" s="441">
        <f>TRUNC(D12*I12,2)</f>
        <v>14122.86</v>
      </c>
      <c r="K12" s="193" t="s">
        <v>550</v>
      </c>
      <c r="L12" s="442">
        <v>4805750</v>
      </c>
      <c r="M12" s="76"/>
      <c r="N12" s="76"/>
      <c r="O12" s="235"/>
    </row>
    <row r="13" spans="1:18" ht="30">
      <c r="A13" s="193" t="s">
        <v>19</v>
      </c>
      <c r="B13" s="192" t="s">
        <v>538</v>
      </c>
      <c r="C13" s="435" t="s">
        <v>15</v>
      </c>
      <c r="D13" s="445">
        <f>TRILHA!M18</f>
        <v>2460</v>
      </c>
      <c r="E13" s="329"/>
      <c r="F13" s="329"/>
      <c r="G13" s="511">
        <f>'COMP. SINAPI'!G11</f>
        <v>27.74</v>
      </c>
      <c r="H13" s="439">
        <f>BDI!$F$30</f>
        <v>0.20730000000000001</v>
      </c>
      <c r="I13" s="440">
        <f>TRUNC(G13*(1+H13),2)</f>
        <v>33.49</v>
      </c>
      <c r="J13" s="441">
        <f>TRUNC(D13*I13,2)</f>
        <v>82385.399999999994</v>
      </c>
      <c r="K13" s="193" t="s">
        <v>388</v>
      </c>
      <c r="L13" s="442">
        <v>105041</v>
      </c>
      <c r="M13" s="76"/>
      <c r="N13" s="76"/>
    </row>
    <row r="14" spans="1:18" ht="30">
      <c r="A14" s="193" t="s">
        <v>130</v>
      </c>
      <c r="B14" s="192" t="s">
        <v>539</v>
      </c>
      <c r="C14" s="435" t="s">
        <v>15</v>
      </c>
      <c r="D14" s="445">
        <f>TRILHA!M24</f>
        <v>5461.2000000000007</v>
      </c>
      <c r="E14" s="329"/>
      <c r="F14" s="329"/>
      <c r="G14" s="512">
        <f>'COMP. SINAPI'!G19</f>
        <v>31.2</v>
      </c>
      <c r="H14" s="439">
        <f>BDI!$F$30</f>
        <v>0.20730000000000001</v>
      </c>
      <c r="I14" s="440">
        <f>TRUNC(G14*(1+H14),2)</f>
        <v>37.659999999999997</v>
      </c>
      <c r="J14" s="441">
        <f>TRUNC(D14*I14,2)</f>
        <v>205668.79</v>
      </c>
      <c r="K14" s="193" t="s">
        <v>481</v>
      </c>
      <c r="L14" s="442">
        <v>105041</v>
      </c>
      <c r="M14" s="76"/>
      <c r="N14" s="82"/>
    </row>
    <row r="15" spans="1:18" ht="30">
      <c r="A15" s="193" t="s">
        <v>188</v>
      </c>
      <c r="B15" s="192" t="s">
        <v>540</v>
      </c>
      <c r="C15" s="435" t="s">
        <v>15</v>
      </c>
      <c r="D15" s="436">
        <f>TRILHA!M29</f>
        <v>3690</v>
      </c>
      <c r="E15" s="327"/>
      <c r="F15" s="327"/>
      <c r="G15" s="512">
        <f>'COMP. SINAPI'!G26</f>
        <v>30.64</v>
      </c>
      <c r="H15" s="439">
        <f>BDI!$F$30</f>
        <v>0.20730000000000001</v>
      </c>
      <c r="I15" s="440">
        <f>TRUNC(G15*(1+H15),2)</f>
        <v>36.99</v>
      </c>
      <c r="J15" s="441">
        <f t="shared" ref="J15:J18" si="0">TRUNC(D15*I15,2)</f>
        <v>136493.1</v>
      </c>
      <c r="K15" s="193" t="s">
        <v>482</v>
      </c>
      <c r="L15" s="442">
        <v>105042</v>
      </c>
      <c r="M15" s="76"/>
      <c r="N15" s="82"/>
    </row>
    <row r="16" spans="1:18" s="233" customFormat="1" ht="30">
      <c r="A16" s="193" t="s">
        <v>526</v>
      </c>
      <c r="B16" s="192" t="s">
        <v>541</v>
      </c>
      <c r="C16" s="435" t="s">
        <v>15</v>
      </c>
      <c r="D16" s="445">
        <f>TRILHA!M34</f>
        <v>5510.4</v>
      </c>
      <c r="E16" s="329"/>
      <c r="F16" s="329"/>
      <c r="G16" s="511">
        <f>'COMP. SINAPI'!G34</f>
        <v>25.14</v>
      </c>
      <c r="H16" s="439">
        <f>BDI!$F$30</f>
        <v>0.20730000000000001</v>
      </c>
      <c r="I16" s="440">
        <f t="shared" ref="I16" si="1">TRUNC(G16*(1+H16),2)</f>
        <v>30.35</v>
      </c>
      <c r="J16" s="441">
        <f t="shared" ref="J16" si="2">TRUNC(D16*I16,2)</f>
        <v>167240.64000000001</v>
      </c>
      <c r="K16" s="193" t="s">
        <v>499</v>
      </c>
      <c r="L16" s="442">
        <v>105041</v>
      </c>
      <c r="M16" s="76"/>
      <c r="N16" s="82"/>
      <c r="O16" s="235"/>
    </row>
    <row r="17" spans="1:21" s="233" customFormat="1" ht="30">
      <c r="A17" s="193" t="s">
        <v>527</v>
      </c>
      <c r="B17" s="191" t="s">
        <v>542</v>
      </c>
      <c r="C17" s="435" t="s">
        <v>17</v>
      </c>
      <c r="D17" s="436">
        <f>TRILHA!M39</f>
        <v>1648.2</v>
      </c>
      <c r="E17" s="327"/>
      <c r="F17" s="327"/>
      <c r="G17" s="513">
        <f>'COMP. SINAPI'!G42</f>
        <v>79.949999999999989</v>
      </c>
      <c r="H17" s="439">
        <f>BDI!$F$30</f>
        <v>0.20730000000000001</v>
      </c>
      <c r="I17" s="440">
        <f t="shared" ref="I17" si="3">TRUNC(G17*(1+H17),2)</f>
        <v>96.52</v>
      </c>
      <c r="J17" s="441">
        <f t="shared" ref="J17" si="4">TRUNC(D17*I17,2)</f>
        <v>159084.26</v>
      </c>
      <c r="K17" s="193" t="s">
        <v>307</v>
      </c>
      <c r="L17" s="442">
        <v>105090</v>
      </c>
      <c r="M17" s="76"/>
      <c r="N17" s="82"/>
      <c r="O17" s="235"/>
    </row>
    <row r="18" spans="1:21" s="233" customFormat="1" ht="45">
      <c r="A18" s="193" t="s">
        <v>528</v>
      </c>
      <c r="B18" s="192" t="s">
        <v>543</v>
      </c>
      <c r="C18" s="435" t="s">
        <v>15</v>
      </c>
      <c r="D18" s="436">
        <f>TRILHA!M44</f>
        <v>3690</v>
      </c>
      <c r="E18" s="327"/>
      <c r="F18" s="327"/>
      <c r="G18" s="512">
        <f>'COMP. SINAPI'!G52</f>
        <v>40.78</v>
      </c>
      <c r="H18" s="439">
        <f>BDI!$F$30</f>
        <v>0.20730000000000001</v>
      </c>
      <c r="I18" s="440">
        <f t="shared" ref="I18" si="5">TRUNC(G18*(1+H18),2)</f>
        <v>49.23</v>
      </c>
      <c r="J18" s="441">
        <f t="shared" si="0"/>
        <v>181658.7</v>
      </c>
      <c r="K18" s="193" t="s">
        <v>309</v>
      </c>
      <c r="L18" s="442">
        <v>105099</v>
      </c>
      <c r="M18" s="76"/>
      <c r="N18" s="82"/>
      <c r="O18" s="235"/>
    </row>
    <row r="19" spans="1:21" s="233" customFormat="1" ht="30">
      <c r="A19" s="193" t="s">
        <v>549</v>
      </c>
      <c r="B19" s="192" t="s">
        <v>544</v>
      </c>
      <c r="C19" s="435" t="s">
        <v>15</v>
      </c>
      <c r="D19" s="436">
        <f>TRILHA!M49</f>
        <v>2730.6</v>
      </c>
      <c r="E19" s="327"/>
      <c r="F19" s="327"/>
      <c r="G19" s="512">
        <f>'COMP. SINAPI'!G62</f>
        <v>42.49</v>
      </c>
      <c r="H19" s="439">
        <f>BDI!$F$30</f>
        <v>0.20730000000000001</v>
      </c>
      <c r="I19" s="440">
        <f t="shared" ref="I19" si="6">TRUNC(G19*(1+H19),2)</f>
        <v>51.29</v>
      </c>
      <c r="J19" s="441">
        <f t="shared" ref="J19" si="7">TRUNC(D19*I19,2)</f>
        <v>140052.47</v>
      </c>
      <c r="K19" s="193" t="s">
        <v>334</v>
      </c>
      <c r="L19" s="442">
        <v>105099</v>
      </c>
      <c r="M19" s="76"/>
      <c r="N19" s="82"/>
      <c r="O19" s="235"/>
    </row>
    <row r="20" spans="1:21" s="233" customFormat="1">
      <c r="A20" s="535" t="s">
        <v>24</v>
      </c>
      <c r="B20" s="535"/>
      <c r="C20" s="535"/>
      <c r="D20" s="535"/>
      <c r="E20" s="535"/>
      <c r="F20" s="535"/>
      <c r="G20" s="535"/>
      <c r="H20" s="535"/>
      <c r="I20" s="535"/>
      <c r="J20" s="425">
        <f>J9+J11</f>
        <v>1136063.6599999999</v>
      </c>
      <c r="K20" s="526"/>
      <c r="L20" s="526"/>
      <c r="M20" s="236"/>
      <c r="N20" s="236"/>
      <c r="O20" s="235"/>
      <c r="R20" s="234"/>
      <c r="S20" s="234"/>
      <c r="T20" s="234"/>
      <c r="U20" s="234"/>
    </row>
    <row r="21" spans="1:21">
      <c r="A21" s="221"/>
      <c r="K21" s="222"/>
      <c r="L21" s="222"/>
      <c r="M21" s="73"/>
      <c r="N21" s="73"/>
    </row>
    <row r="22" spans="1:21">
      <c r="A22" s="221"/>
      <c r="K22" s="222"/>
      <c r="L22" s="222"/>
      <c r="M22" s="73"/>
      <c r="N22" s="73"/>
    </row>
    <row r="23" spans="1:21">
      <c r="A23" s="221"/>
      <c r="K23" s="222"/>
      <c r="L23" s="222"/>
      <c r="M23" s="73"/>
      <c r="N23" s="73"/>
    </row>
    <row r="24" spans="1:21">
      <c r="A24" s="221"/>
      <c r="B24" s="221"/>
      <c r="C24" s="221"/>
      <c r="D24" s="221"/>
      <c r="E24" s="221"/>
      <c r="F24" s="222"/>
      <c r="G24" s="221"/>
      <c r="H24" s="221"/>
      <c r="I24" s="221"/>
      <c r="J24" s="221"/>
      <c r="K24" s="222"/>
      <c r="L24" s="222"/>
      <c r="M24" s="73"/>
      <c r="N24" s="73"/>
    </row>
    <row r="26" spans="1:21">
      <c r="J26" s="104"/>
      <c r="K26" s="30"/>
    </row>
    <row r="41" spans="2:10">
      <c r="B41" s="221" t="s">
        <v>405</v>
      </c>
      <c r="C41" s="221"/>
      <c r="D41" s="221"/>
      <c r="E41" s="221"/>
      <c r="F41" s="222"/>
      <c r="G41" s="221"/>
      <c r="H41" s="221"/>
      <c r="I41" s="221"/>
      <c r="J41" s="221"/>
    </row>
    <row r="42" spans="2:10">
      <c r="B42" s="221" t="s">
        <v>406</v>
      </c>
      <c r="C42" s="221"/>
      <c r="D42" s="221"/>
      <c r="E42" s="221"/>
      <c r="F42" s="222"/>
      <c r="G42" s="221"/>
      <c r="H42" s="221"/>
      <c r="I42" s="221"/>
      <c r="J42" s="221"/>
    </row>
    <row r="43" spans="2:10">
      <c r="B43" s="225" t="s">
        <v>463</v>
      </c>
      <c r="C43" s="221"/>
      <c r="D43" s="221"/>
      <c r="E43" s="221"/>
      <c r="F43" s="222"/>
      <c r="G43" s="221"/>
      <c r="H43" s="221"/>
      <c r="I43" s="331" t="s">
        <v>24</v>
      </c>
      <c r="J43" s="425">
        <f>J20</f>
        <v>1136063.6599999999</v>
      </c>
    </row>
  </sheetData>
  <sheetProtection password="E491" sheet="1" objects="1" scenarios="1"/>
  <mergeCells count="24">
    <mergeCell ref="J4:L4"/>
    <mergeCell ref="A20:I20"/>
    <mergeCell ref="K20:L20"/>
    <mergeCell ref="K11:L11"/>
    <mergeCell ref="K6:K7"/>
    <mergeCell ref="L6:L7"/>
    <mergeCell ref="C6:C7"/>
    <mergeCell ref="D6:D7"/>
    <mergeCell ref="A1:M1"/>
    <mergeCell ref="C2:L2"/>
    <mergeCell ref="A6:A7"/>
    <mergeCell ref="B11:I11"/>
    <mergeCell ref="B6:B7"/>
    <mergeCell ref="G6:J6"/>
    <mergeCell ref="F6:F7"/>
    <mergeCell ref="E6:E7"/>
    <mergeCell ref="B9:I9"/>
    <mergeCell ref="K9:L9"/>
    <mergeCell ref="A2:A4"/>
    <mergeCell ref="D5:G5"/>
    <mergeCell ref="C3:G3"/>
    <mergeCell ref="B4:I4"/>
    <mergeCell ref="H3:I3"/>
    <mergeCell ref="J3:L3"/>
  </mergeCells>
  <printOptions horizontalCentered="1"/>
  <pageMargins left="0.51181102362204722" right="0.51181102362204722" top="0.59055118110236227" bottom="0.39370078740157483" header="0.31496062992125984" footer="0.19685039370078741"/>
  <pageSetup paperSize="9" scale="65" orientation="landscape" r:id="rId1"/>
  <ignoredErrors>
    <ignoredError sqref="J11" formula="1"/>
    <ignoredError sqref="G12:G19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showGridLines="0" view="pageBreakPreview" zoomScaleNormal="85" zoomScaleSheetLayoutView="100" workbookViewId="0">
      <selection activeCell="F9" sqref="F9"/>
    </sheetView>
  </sheetViews>
  <sheetFormatPr defaultRowHeight="15"/>
  <cols>
    <col min="1" max="1" width="14.7109375" customWidth="1"/>
    <col min="2" max="2" width="43.140625" customWidth="1"/>
    <col min="3" max="3" width="19.28515625" customWidth="1"/>
    <col min="4" max="4" width="15" bestFit="1" customWidth="1"/>
    <col min="5" max="5" width="18.42578125" customWidth="1"/>
    <col min="6" max="6" width="16.28515625" bestFit="1" customWidth="1"/>
    <col min="7" max="7" width="11.5703125" customWidth="1"/>
    <col min="8" max="8" width="17.42578125" customWidth="1"/>
    <col min="9" max="9" width="9.140625" bestFit="1" customWidth="1"/>
  </cols>
  <sheetData>
    <row r="1" spans="1:9" ht="41.25" customHeight="1">
      <c r="A1" s="550"/>
      <c r="B1" s="553" t="s">
        <v>25</v>
      </c>
      <c r="C1" s="553"/>
      <c r="D1" s="553"/>
      <c r="E1" s="553"/>
      <c r="F1" s="553"/>
      <c r="G1" s="553"/>
      <c r="H1" s="553"/>
      <c r="I1" s="553"/>
    </row>
    <row r="2" spans="1:9">
      <c r="A2" s="551"/>
      <c r="B2" s="554" t="str">
        <f>TRILHA!$G$2</f>
        <v>PREFEITURA MUNICIPAL DE MARACAJÁ</v>
      </c>
      <c r="C2" s="554"/>
      <c r="D2" s="554" t="str">
        <f>TRILHA!$I$2</f>
        <v>BAIRRO: GARAJUVA</v>
      </c>
      <c r="E2" s="554"/>
      <c r="F2" s="555" t="str">
        <f>TRILHA!$K$2</f>
        <v>MUNICIPIO: MARACAJÁ</v>
      </c>
      <c r="G2" s="555"/>
      <c r="H2" s="554" t="str">
        <f>TRILHA!$M$2</f>
        <v>ESTADO: SANTA CATARINA</v>
      </c>
      <c r="I2" s="554"/>
    </row>
    <row r="3" spans="1:9">
      <c r="A3" s="552"/>
      <c r="B3" s="558" t="str">
        <f>TRILHA!G3</f>
        <v>TRILHA SUSPENSA - PARQUE ECOLÓGICO</v>
      </c>
      <c r="C3" s="559"/>
      <c r="D3" s="559"/>
      <c r="E3" s="559"/>
      <c r="F3" s="559"/>
      <c r="G3" s="560"/>
      <c r="H3" s="556" t="str">
        <f ca="1">TRILHA!$M$3</f>
        <v>DATA: 07/08/24</v>
      </c>
      <c r="I3" s="557"/>
    </row>
    <row r="4" spans="1:9">
      <c r="A4" s="6"/>
      <c r="B4" s="7"/>
      <c r="C4" s="7"/>
      <c r="D4" s="7"/>
      <c r="E4" s="7"/>
      <c r="F4" s="7"/>
      <c r="G4" s="15"/>
      <c r="H4" s="8"/>
      <c r="I4" s="162"/>
    </row>
    <row r="5" spans="1:9">
      <c r="A5" s="523" t="s">
        <v>1</v>
      </c>
      <c r="B5" s="523" t="s">
        <v>2</v>
      </c>
      <c r="C5" s="523" t="s">
        <v>3</v>
      </c>
      <c r="D5" s="523" t="s">
        <v>4</v>
      </c>
      <c r="E5" s="523" t="s">
        <v>434</v>
      </c>
      <c r="F5" s="523" t="s">
        <v>390</v>
      </c>
      <c r="G5" s="549" t="s">
        <v>26</v>
      </c>
      <c r="H5" s="523" t="s">
        <v>8</v>
      </c>
      <c r="I5" s="523" t="s">
        <v>27</v>
      </c>
    </row>
    <row r="6" spans="1:9" ht="15.75" customHeight="1">
      <c r="A6" s="523"/>
      <c r="B6" s="523"/>
      <c r="C6" s="523"/>
      <c r="D6" s="523"/>
      <c r="E6" s="523"/>
      <c r="F6" s="523"/>
      <c r="G6" s="549"/>
      <c r="H6" s="523"/>
      <c r="I6" s="523"/>
    </row>
    <row r="7" spans="1:9">
      <c r="A7" s="482">
        <f>ORÇAMENTO!A9</f>
        <v>1</v>
      </c>
      <c r="B7" s="483" t="str">
        <f>ORÇAMENTO!B9</f>
        <v>SERVIÇOS PRELIMINARES</v>
      </c>
      <c r="C7" s="484"/>
      <c r="D7" s="484"/>
      <c r="E7" s="485"/>
      <c r="F7" s="485">
        <f>ORÇAMENTO!J9</f>
        <v>49357.440000000002</v>
      </c>
      <c r="G7" s="485"/>
      <c r="H7" s="486">
        <f>E7+F7</f>
        <v>49357.440000000002</v>
      </c>
      <c r="I7" s="487">
        <f>H7/$H$37</f>
        <v>4.3446016044558632E-2</v>
      </c>
    </row>
    <row r="8" spans="1:9" s="233" customFormat="1">
      <c r="A8" s="488">
        <f>ORÇAMENTO!A11</f>
        <v>2</v>
      </c>
      <c r="B8" s="489" t="str">
        <f>ORÇAMENTO!B11</f>
        <v>OBRAS EM MADEIRA</v>
      </c>
      <c r="C8" s="490"/>
      <c r="D8" s="490"/>
      <c r="E8" s="491"/>
      <c r="F8" s="491">
        <f>ORÇAMENTO!J11</f>
        <v>1086706.22</v>
      </c>
      <c r="G8" s="491"/>
      <c r="H8" s="492">
        <f>E8+F8</f>
        <v>1086706.22</v>
      </c>
      <c r="I8" s="493">
        <f>H8/$H$37</f>
        <v>0.95655398395544144</v>
      </c>
    </row>
    <row r="9" spans="1:9">
      <c r="A9" s="296"/>
      <c r="B9" s="297"/>
      <c r="C9" s="298"/>
      <c r="D9" s="298"/>
      <c r="E9" s="301"/>
      <c r="F9" s="424"/>
      <c r="G9" s="301"/>
      <c r="H9" s="422"/>
      <c r="I9" s="423"/>
    </row>
    <row r="10" spans="1:9">
      <c r="A10" s="296"/>
      <c r="B10" s="297"/>
      <c r="C10" s="298"/>
      <c r="D10" s="302"/>
      <c r="E10" s="301"/>
      <c r="F10" s="301"/>
      <c r="G10" s="301"/>
      <c r="H10" s="300"/>
      <c r="I10" s="340"/>
    </row>
    <row r="11" spans="1:9" s="233" customFormat="1">
      <c r="A11" s="296"/>
      <c r="B11" s="303"/>
      <c r="C11" s="298"/>
      <c r="D11" s="302"/>
      <c r="E11" s="301"/>
      <c r="F11" s="301"/>
      <c r="G11" s="301"/>
      <c r="H11" s="300"/>
      <c r="I11" s="340"/>
    </row>
    <row r="12" spans="1:9">
      <c r="A12" s="296"/>
      <c r="B12" s="307"/>
      <c r="C12" s="298"/>
      <c r="D12" s="302"/>
      <c r="E12" s="301"/>
      <c r="F12" s="304"/>
      <c r="G12" s="301"/>
      <c r="H12" s="305"/>
      <c r="I12" s="308"/>
    </row>
    <row r="13" spans="1:9">
      <c r="A13" s="296"/>
      <c r="B13" s="307"/>
      <c r="C13" s="298"/>
      <c r="D13" s="302"/>
      <c r="E13" s="301"/>
      <c r="F13" s="304"/>
      <c r="G13" s="301"/>
      <c r="H13" s="305"/>
      <c r="I13" s="308"/>
    </row>
    <row r="14" spans="1:9">
      <c r="A14" s="296"/>
      <c r="B14" s="307"/>
      <c r="C14" s="298"/>
      <c r="D14" s="302"/>
      <c r="E14" s="301"/>
      <c r="F14" s="304"/>
      <c r="G14" s="301"/>
      <c r="H14" s="305"/>
      <c r="I14" s="308"/>
    </row>
    <row r="15" spans="1:9">
      <c r="A15" s="296"/>
      <c r="B15" s="307"/>
      <c r="C15" s="298"/>
      <c r="D15" s="302"/>
      <c r="E15" s="301"/>
      <c r="F15" s="304"/>
      <c r="G15" s="301"/>
      <c r="H15" s="305"/>
      <c r="I15" s="308"/>
    </row>
    <row r="16" spans="1:9">
      <c r="A16" s="296"/>
      <c r="B16" s="307"/>
      <c r="C16" s="298"/>
      <c r="D16" s="302"/>
      <c r="E16" s="301"/>
      <c r="F16" s="304"/>
      <c r="G16" s="301"/>
      <c r="H16" s="305"/>
      <c r="I16" s="308"/>
    </row>
    <row r="17" spans="1:9">
      <c r="A17" s="296"/>
      <c r="B17" s="307"/>
      <c r="C17" s="298"/>
      <c r="D17" s="302"/>
      <c r="E17" s="301"/>
      <c r="F17" s="304"/>
      <c r="G17" s="301"/>
      <c r="H17" s="305"/>
      <c r="I17" s="308"/>
    </row>
    <row r="18" spans="1:9">
      <c r="A18" s="296"/>
      <c r="B18" s="307"/>
      <c r="C18" s="298"/>
      <c r="D18" s="302"/>
      <c r="E18" s="301"/>
      <c r="F18" s="304"/>
      <c r="G18" s="301"/>
      <c r="H18" s="305"/>
      <c r="I18" s="308"/>
    </row>
    <row r="19" spans="1:9">
      <c r="A19" s="296"/>
      <c r="B19" s="307"/>
      <c r="C19" s="298"/>
      <c r="D19" s="302"/>
      <c r="E19" s="301"/>
      <c r="F19" s="304"/>
      <c r="G19" s="301"/>
      <c r="H19" s="305"/>
      <c r="I19" s="308"/>
    </row>
    <row r="20" spans="1:9">
      <c r="A20" s="296"/>
      <c r="B20" s="307"/>
      <c r="C20" s="298"/>
      <c r="D20" s="298"/>
      <c r="E20" s="298"/>
      <c r="F20" s="298"/>
      <c r="G20" s="299"/>
      <c r="H20" s="305"/>
      <c r="I20" s="306"/>
    </row>
    <row r="21" spans="1:9">
      <c r="A21" s="296"/>
      <c r="B21" s="307"/>
      <c r="C21" s="298"/>
      <c r="D21" s="302"/>
      <c r="E21" s="301"/>
      <c r="F21" s="304"/>
      <c r="G21" s="301"/>
      <c r="H21" s="305"/>
      <c r="I21" s="309"/>
    </row>
    <row r="22" spans="1:9">
      <c r="A22" s="296"/>
      <c r="B22" s="307"/>
      <c r="C22" s="298"/>
      <c r="D22" s="302"/>
      <c r="E22" s="301"/>
      <c r="F22" s="304"/>
      <c r="G22" s="301"/>
      <c r="H22" s="305"/>
      <c r="I22" s="308"/>
    </row>
    <row r="23" spans="1:9" s="233" customFormat="1">
      <c r="A23" s="296"/>
      <c r="B23" s="307"/>
      <c r="C23" s="298"/>
      <c r="D23" s="302"/>
      <c r="E23" s="301"/>
      <c r="F23" s="304"/>
      <c r="G23" s="301"/>
      <c r="H23" s="305"/>
      <c r="I23" s="308"/>
    </row>
    <row r="24" spans="1:9" s="233" customFormat="1">
      <c r="A24" s="296"/>
      <c r="B24" s="307"/>
      <c r="C24" s="298"/>
      <c r="D24" s="302"/>
      <c r="E24" s="301"/>
      <c r="F24" s="304"/>
      <c r="G24" s="301"/>
      <c r="H24" s="305"/>
      <c r="I24" s="308"/>
    </row>
    <row r="25" spans="1:9" s="233" customFormat="1">
      <c r="A25" s="296"/>
      <c r="B25" s="307"/>
      <c r="C25" s="298"/>
      <c r="D25" s="302"/>
      <c r="E25" s="301"/>
      <c r="F25" s="304"/>
      <c r="G25" s="301"/>
      <c r="H25" s="305"/>
      <c r="I25" s="308"/>
    </row>
    <row r="26" spans="1:9" s="233" customFormat="1">
      <c r="A26" s="296"/>
      <c r="B26" s="307"/>
      <c r="C26" s="298"/>
      <c r="D26" s="302"/>
      <c r="E26" s="301"/>
      <c r="F26" s="304"/>
      <c r="G26" s="301"/>
      <c r="H26" s="305"/>
      <c r="I26" s="308"/>
    </row>
    <row r="27" spans="1:9" s="233" customFormat="1">
      <c r="A27" s="296"/>
      <c r="B27" s="307"/>
      <c r="C27" s="298"/>
      <c r="D27" s="302"/>
      <c r="E27" s="301"/>
      <c r="F27" s="304"/>
      <c r="G27" s="301"/>
      <c r="H27" s="305"/>
      <c r="I27" s="308"/>
    </row>
    <row r="28" spans="1:9" s="233" customFormat="1">
      <c r="A28" s="296"/>
      <c r="B28" s="307"/>
      <c r="C28" s="298"/>
      <c r="D28" s="302"/>
      <c r="E28" s="301"/>
      <c r="F28" s="304"/>
      <c r="G28" s="301"/>
      <c r="H28" s="305"/>
      <c r="I28" s="308"/>
    </row>
    <row r="29" spans="1:9" s="233" customFormat="1">
      <c r="A29" s="296"/>
      <c r="B29" s="307"/>
      <c r="C29" s="298"/>
      <c r="D29" s="302"/>
      <c r="E29" s="301"/>
      <c r="F29" s="304"/>
      <c r="G29" s="301"/>
      <c r="H29" s="305"/>
      <c r="I29" s="308"/>
    </row>
    <row r="30" spans="1:9">
      <c r="A30" s="296"/>
      <c r="B30" s="298"/>
      <c r="C30" s="298"/>
      <c r="D30" s="302"/>
      <c r="E30" s="301"/>
      <c r="F30" s="304"/>
      <c r="G30" s="301"/>
      <c r="H30" s="310"/>
      <c r="I30" s="309"/>
    </row>
    <row r="31" spans="1:9">
      <c r="A31" s="296"/>
      <c r="B31" s="307"/>
      <c r="C31" s="298"/>
      <c r="D31" s="302"/>
      <c r="E31" s="301"/>
      <c r="F31" s="304"/>
      <c r="G31" s="301"/>
      <c r="H31" s="305"/>
      <c r="I31" s="309"/>
    </row>
    <row r="32" spans="1:9">
      <c r="A32" s="296"/>
      <c r="B32" s="307"/>
      <c r="C32" s="298"/>
      <c r="D32" s="302"/>
      <c r="E32" s="301"/>
      <c r="F32" s="304"/>
      <c r="G32" s="301"/>
      <c r="H32" s="305"/>
      <c r="I32" s="309"/>
    </row>
    <row r="33" spans="1:9">
      <c r="A33" s="296"/>
      <c r="B33" s="307"/>
      <c r="C33" s="298"/>
      <c r="D33" s="302"/>
      <c r="E33" s="301"/>
      <c r="F33" s="304"/>
      <c r="G33" s="301"/>
      <c r="H33" s="305"/>
      <c r="I33" s="308"/>
    </row>
    <row r="34" spans="1:9">
      <c r="A34" s="296"/>
      <c r="B34" s="307"/>
      <c r="C34" s="298"/>
      <c r="D34" s="298"/>
      <c r="E34" s="298"/>
      <c r="F34" s="298"/>
      <c r="G34" s="299"/>
      <c r="H34" s="305"/>
      <c r="I34" s="306"/>
    </row>
    <row r="35" spans="1:9">
      <c r="A35" s="296"/>
      <c r="B35" s="307"/>
      <c r="C35" s="298"/>
      <c r="D35" s="302"/>
      <c r="E35" s="301"/>
      <c r="F35" s="304"/>
      <c r="G35" s="301"/>
      <c r="H35" s="305"/>
      <c r="I35" s="311"/>
    </row>
    <row r="36" spans="1:9">
      <c r="A36" s="296"/>
      <c r="B36" s="307"/>
      <c r="C36" s="298"/>
      <c r="D36" s="302"/>
      <c r="E36" s="301"/>
      <c r="F36" s="304"/>
      <c r="G36" s="301"/>
      <c r="H36" s="310"/>
      <c r="I36" s="312"/>
    </row>
    <row r="37" spans="1:9">
      <c r="A37" s="313"/>
      <c r="B37" s="314"/>
      <c r="C37" s="315"/>
      <c r="D37" s="316"/>
      <c r="E37" s="341">
        <f>SUM(E7:E36)</f>
        <v>0</v>
      </c>
      <c r="F37" s="421">
        <f>SUM(F7:F36)</f>
        <v>1136063.6599999999</v>
      </c>
      <c r="G37" s="317"/>
      <c r="H37" s="421">
        <f>SUM(H7:H36)</f>
        <v>1136063.6599999999</v>
      </c>
      <c r="I37" s="342">
        <f>SUM(I7:I36)</f>
        <v>1</v>
      </c>
    </row>
    <row r="38" spans="1:9">
      <c r="A38" s="266"/>
      <c r="B38" s="13"/>
      <c r="C38" s="13"/>
      <c r="D38" s="13"/>
      <c r="E38" s="13"/>
      <c r="F38" s="13"/>
      <c r="G38" s="13"/>
      <c r="H38" s="266"/>
      <c r="I38" s="266"/>
    </row>
    <row r="39" spans="1:9">
      <c r="A39" s="7"/>
      <c r="B39" s="7"/>
      <c r="C39" s="7"/>
      <c r="D39" s="7"/>
      <c r="E39" s="7"/>
      <c r="F39" s="7"/>
      <c r="G39" s="7"/>
      <c r="H39" s="8"/>
      <c r="I39" s="8"/>
    </row>
    <row r="40" spans="1:9">
      <c r="A40" s="7"/>
      <c r="B40" s="7"/>
      <c r="C40" s="7"/>
      <c r="D40" s="7"/>
      <c r="E40" s="7"/>
      <c r="F40" s="7"/>
      <c r="G40" s="7"/>
      <c r="H40" s="8"/>
      <c r="I40" s="8"/>
    </row>
    <row r="41" spans="1:9">
      <c r="A41" s="7"/>
      <c r="B41" s="7"/>
      <c r="C41" s="7"/>
      <c r="D41" s="7"/>
      <c r="E41" s="7"/>
      <c r="F41" s="7"/>
      <c r="G41" s="7"/>
      <c r="H41" s="8"/>
      <c r="I41" s="8"/>
    </row>
    <row r="42" spans="1:9">
      <c r="A42" s="7"/>
      <c r="B42" s="7"/>
      <c r="C42" s="7"/>
      <c r="D42" s="7"/>
      <c r="E42" s="7"/>
      <c r="F42" s="7"/>
      <c r="G42" s="7"/>
      <c r="H42" s="8"/>
      <c r="I42" s="8"/>
    </row>
    <row r="43" spans="1:9">
      <c r="A43" s="7"/>
      <c r="B43" s="7"/>
      <c r="C43" s="7"/>
      <c r="D43" s="7"/>
      <c r="E43" s="7"/>
      <c r="F43" s="7"/>
      <c r="G43" s="7"/>
      <c r="H43" s="8"/>
      <c r="I43" s="8"/>
    </row>
    <row r="44" spans="1:9">
      <c r="A44" s="7"/>
      <c r="B44" s="14"/>
      <c r="C44" s="7"/>
      <c r="D44" s="7"/>
      <c r="E44" s="7"/>
      <c r="F44" s="7"/>
      <c r="G44" s="7"/>
      <c r="H44" s="8"/>
      <c r="I44" s="8"/>
    </row>
    <row r="45" spans="1:9">
      <c r="A45" s="7"/>
      <c r="B45" s="7"/>
      <c r="C45" s="7"/>
      <c r="D45" s="7"/>
      <c r="E45" s="7"/>
      <c r="F45" s="7"/>
      <c r="G45" s="7"/>
      <c r="H45" s="8"/>
      <c r="I45" s="8"/>
    </row>
    <row r="56" spans="1:9">
      <c r="A56" s="233"/>
      <c r="B56" s="233"/>
      <c r="C56" s="233"/>
      <c r="D56" s="233"/>
      <c r="E56" s="233"/>
      <c r="F56" s="233"/>
      <c r="G56" s="233"/>
      <c r="H56" s="233"/>
      <c r="I56" s="233"/>
    </row>
    <row r="57" spans="1:9" s="233" customFormat="1">
      <c r="A57"/>
      <c r="B57"/>
      <c r="C57"/>
      <c r="D57"/>
      <c r="E57"/>
      <c r="F57"/>
      <c r="G57"/>
      <c r="H57"/>
      <c r="I57"/>
    </row>
  </sheetData>
  <mergeCells count="17">
    <mergeCell ref="A1:A3"/>
    <mergeCell ref="A5:A6"/>
    <mergeCell ref="B5:B6"/>
    <mergeCell ref="C5:C6"/>
    <mergeCell ref="D5:D6"/>
    <mergeCell ref="B1:I1"/>
    <mergeCell ref="B2:C2"/>
    <mergeCell ref="D2:E2"/>
    <mergeCell ref="F2:G2"/>
    <mergeCell ref="H2:I2"/>
    <mergeCell ref="H3:I3"/>
    <mergeCell ref="B3:G3"/>
    <mergeCell ref="H5:H6"/>
    <mergeCell ref="I5:I6"/>
    <mergeCell ref="E5:E6"/>
    <mergeCell ref="G5:G6"/>
    <mergeCell ref="F5:F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2" orientation="landscape" r:id="rId1"/>
  <ignoredErrors>
    <ignoredError sqref="H7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showGridLines="0" view="pageBreakPreview" zoomScale="85" zoomScaleNormal="85" zoomScaleSheetLayoutView="85" workbookViewId="0">
      <selection activeCell="F9" sqref="F9"/>
    </sheetView>
  </sheetViews>
  <sheetFormatPr defaultRowHeight="15"/>
  <cols>
    <col min="1" max="1" width="14.85546875" style="233" customWidth="1"/>
    <col min="2" max="2" width="9.7109375" style="233" bestFit="1" customWidth="1"/>
    <col min="3" max="3" width="8.85546875" style="233" bestFit="1" customWidth="1"/>
    <col min="4" max="4" width="9.7109375" style="233" bestFit="1" customWidth="1"/>
    <col min="5" max="5" width="8.85546875" style="233" bestFit="1" customWidth="1"/>
    <col min="6" max="6" width="9.7109375" style="233" bestFit="1" customWidth="1"/>
    <col min="7" max="7" width="8.85546875" style="233" bestFit="1" customWidth="1"/>
    <col min="8" max="8" width="9.7109375" style="233" bestFit="1" customWidth="1"/>
    <col min="9" max="9" width="8.85546875" style="233" bestFit="1" customWidth="1"/>
    <col min="10" max="10" width="9.7109375" style="233" customWidth="1"/>
    <col min="11" max="11" width="8.85546875" style="233" bestFit="1" customWidth="1"/>
    <col min="12" max="12" width="9.7109375" style="233" bestFit="1" customWidth="1"/>
    <col min="13" max="13" width="8.85546875" style="233" bestFit="1" customWidth="1"/>
    <col min="14" max="14" width="9.7109375" style="233" bestFit="1" customWidth="1"/>
    <col min="15" max="15" width="8.85546875" style="233" bestFit="1" customWidth="1"/>
    <col min="16" max="16" width="9.7109375" style="233" bestFit="1" customWidth="1"/>
    <col min="17" max="17" width="8.85546875" style="233" bestFit="1" customWidth="1"/>
    <col min="18" max="18" width="9.7109375" style="233" bestFit="1" customWidth="1"/>
    <col min="19" max="19" width="8.85546875" style="233" bestFit="1" customWidth="1"/>
    <col min="20" max="20" width="9.7109375" style="233" customWidth="1"/>
    <col min="21" max="21" width="8.85546875" style="233" bestFit="1" customWidth="1"/>
    <col min="22" max="22" width="9.7109375" style="233" bestFit="1" customWidth="1"/>
    <col min="23" max="23" width="8.85546875" style="233" bestFit="1" customWidth="1"/>
    <col min="24" max="24" width="9.7109375" style="233" bestFit="1" customWidth="1"/>
    <col min="25" max="25" width="8.85546875" style="233" bestFit="1" customWidth="1"/>
    <col min="26" max="16384" width="9.140625" style="233"/>
  </cols>
  <sheetData>
    <row r="1" spans="1:25" ht="41.25" customHeight="1">
      <c r="A1" s="553"/>
      <c r="B1" s="581" t="s">
        <v>394</v>
      </c>
      <c r="C1" s="582"/>
      <c r="D1" s="582"/>
      <c r="E1" s="582"/>
      <c r="F1" s="582"/>
      <c r="G1" s="582"/>
      <c r="H1" s="582"/>
      <c r="I1" s="582"/>
      <c r="J1" s="582"/>
      <c r="K1" s="582"/>
      <c r="L1" s="582"/>
      <c r="M1" s="582"/>
      <c r="N1" s="582"/>
      <c r="O1" s="582"/>
      <c r="P1" s="582"/>
      <c r="Q1" s="582"/>
      <c r="R1" s="582"/>
      <c r="S1" s="582"/>
      <c r="T1" s="582"/>
      <c r="U1" s="582"/>
      <c r="V1" s="582"/>
      <c r="W1" s="582"/>
      <c r="X1" s="582"/>
      <c r="Y1" s="583"/>
    </row>
    <row r="2" spans="1:25">
      <c r="A2" s="553"/>
      <c r="B2" s="554" t="str">
        <f>TRILHA!$G$2</f>
        <v>PREFEITURA MUNICIPAL DE MARACAJÁ</v>
      </c>
      <c r="C2" s="554"/>
      <c r="D2" s="554"/>
      <c r="E2" s="554"/>
      <c r="F2" s="554"/>
      <c r="G2" s="554"/>
      <c r="H2" s="554"/>
      <c r="I2" s="554"/>
      <c r="J2" s="554"/>
      <c r="K2" s="554"/>
      <c r="L2" s="554"/>
      <c r="M2" s="554"/>
      <c r="N2" s="554" t="str">
        <f>TRILHA!$I$2</f>
        <v>BAIRRO: GARAJUVA</v>
      </c>
      <c r="O2" s="554"/>
      <c r="P2" s="554"/>
      <c r="Q2" s="554"/>
      <c r="R2" s="561" t="str">
        <f>TRILHA!$K$2</f>
        <v>MUNICIPIO: MARACAJÁ</v>
      </c>
      <c r="S2" s="562"/>
      <c r="T2" s="562"/>
      <c r="U2" s="563"/>
      <c r="V2" s="554" t="str">
        <f>TRILHA!$M$2</f>
        <v>ESTADO: SANTA CATARINA</v>
      </c>
      <c r="W2" s="554"/>
      <c r="X2" s="554"/>
      <c r="Y2" s="554"/>
    </row>
    <row r="3" spans="1:25">
      <c r="A3" s="553"/>
      <c r="B3" s="554" t="str">
        <f>TRILHA!G3</f>
        <v>TRILHA SUSPENSA - PARQUE ECOLÓGICO</v>
      </c>
      <c r="C3" s="554"/>
      <c r="D3" s="554"/>
      <c r="E3" s="554"/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78" t="str">
        <f ca="1">TRILHA!$M$3</f>
        <v>DATA: 07/08/24</v>
      </c>
      <c r="W3" s="578"/>
      <c r="X3" s="578"/>
      <c r="Y3" s="578"/>
    </row>
    <row r="4" spans="1:25" ht="15" customHeight="1">
      <c r="A4" s="9"/>
      <c r="B4" s="10"/>
      <c r="C4" s="10"/>
      <c r="D4" s="10"/>
      <c r="E4" s="10"/>
      <c r="F4" s="10"/>
      <c r="G4" s="11"/>
      <c r="H4" s="12"/>
      <c r="I4" s="12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24"/>
    </row>
    <row r="5" spans="1:25" ht="15.75" customHeight="1">
      <c r="A5" s="579" t="s">
        <v>31</v>
      </c>
      <c r="B5" s="575" t="s">
        <v>28</v>
      </c>
      <c r="C5" s="575"/>
      <c r="D5" s="576" t="s">
        <v>32</v>
      </c>
      <c r="E5" s="577"/>
      <c r="F5" s="576" t="s">
        <v>33</v>
      </c>
      <c r="G5" s="577"/>
      <c r="H5" s="575" t="s">
        <v>34</v>
      </c>
      <c r="I5" s="575"/>
      <c r="J5" s="576" t="s">
        <v>35</v>
      </c>
      <c r="K5" s="577"/>
      <c r="L5" s="576" t="s">
        <v>36</v>
      </c>
      <c r="M5" s="577"/>
      <c r="N5" s="575" t="s">
        <v>37</v>
      </c>
      <c r="O5" s="575"/>
      <c r="P5" s="576" t="s">
        <v>38</v>
      </c>
      <c r="Q5" s="577"/>
      <c r="R5" s="576" t="s">
        <v>39</v>
      </c>
      <c r="S5" s="577"/>
      <c r="T5" s="575" t="s">
        <v>40</v>
      </c>
      <c r="U5" s="575"/>
      <c r="V5" s="576" t="s">
        <v>41</v>
      </c>
      <c r="W5" s="577"/>
      <c r="X5" s="576" t="s">
        <v>42</v>
      </c>
      <c r="Y5" s="577"/>
    </row>
    <row r="6" spans="1:25">
      <c r="A6" s="580"/>
      <c r="B6" s="343" t="s">
        <v>29</v>
      </c>
      <c r="C6" s="343" t="s">
        <v>30</v>
      </c>
      <c r="D6" s="343" t="s">
        <v>29</v>
      </c>
      <c r="E6" s="343" t="s">
        <v>30</v>
      </c>
      <c r="F6" s="343" t="s">
        <v>29</v>
      </c>
      <c r="G6" s="343" t="s">
        <v>30</v>
      </c>
      <c r="H6" s="343" t="s">
        <v>29</v>
      </c>
      <c r="I6" s="343" t="s">
        <v>30</v>
      </c>
      <c r="J6" s="343" t="s">
        <v>29</v>
      </c>
      <c r="K6" s="343" t="s">
        <v>30</v>
      </c>
      <c r="L6" s="343" t="s">
        <v>29</v>
      </c>
      <c r="M6" s="343" t="s">
        <v>30</v>
      </c>
      <c r="N6" s="343" t="s">
        <v>29</v>
      </c>
      <c r="O6" s="343" t="s">
        <v>30</v>
      </c>
      <c r="P6" s="343" t="s">
        <v>29</v>
      </c>
      <c r="Q6" s="343" t="s">
        <v>30</v>
      </c>
      <c r="R6" s="343" t="s">
        <v>29</v>
      </c>
      <c r="S6" s="343" t="s">
        <v>30</v>
      </c>
      <c r="T6" s="343" t="s">
        <v>29</v>
      </c>
      <c r="U6" s="343" t="s">
        <v>30</v>
      </c>
      <c r="V6" s="343" t="s">
        <v>29</v>
      </c>
      <c r="W6" s="343" t="s">
        <v>30</v>
      </c>
      <c r="X6" s="343" t="s">
        <v>29</v>
      </c>
      <c r="Y6" s="343" t="s">
        <v>30</v>
      </c>
    </row>
    <row r="7" spans="1:25">
      <c r="A7" s="19">
        <f>IF(QCI!A7="","",QCI!A7)</f>
        <v>1</v>
      </c>
      <c r="B7" s="344">
        <v>1</v>
      </c>
      <c r="C7" s="345">
        <f>B7</f>
        <v>1</v>
      </c>
      <c r="D7" s="344">
        <v>0</v>
      </c>
      <c r="E7" s="345">
        <v>0</v>
      </c>
      <c r="F7" s="344">
        <v>0</v>
      </c>
      <c r="G7" s="345">
        <v>0</v>
      </c>
      <c r="H7" s="344">
        <v>0</v>
      </c>
      <c r="I7" s="345">
        <v>0</v>
      </c>
      <c r="J7" s="344">
        <v>0</v>
      </c>
      <c r="K7" s="345">
        <v>0</v>
      </c>
      <c r="L7" s="344"/>
      <c r="M7" s="345"/>
      <c r="N7" s="87"/>
      <c r="O7" s="18"/>
      <c r="P7" s="87"/>
      <c r="Q7" s="18"/>
      <c r="R7" s="87"/>
      <c r="S7" s="18"/>
      <c r="T7" s="87"/>
      <c r="U7" s="18"/>
      <c r="V7" s="87"/>
      <c r="W7" s="18"/>
      <c r="X7" s="87"/>
      <c r="Y7" s="18"/>
    </row>
    <row r="8" spans="1:25">
      <c r="A8" s="19">
        <f>IF(QCI!A8="","",QCI!A8)</f>
        <v>2</v>
      </c>
      <c r="B8" s="344">
        <v>0.2</v>
      </c>
      <c r="C8" s="345">
        <f>B8</f>
        <v>0.2</v>
      </c>
      <c r="D8" s="344">
        <v>0.2</v>
      </c>
      <c r="E8" s="345">
        <f>B8+D8</f>
        <v>0.4</v>
      </c>
      <c r="F8" s="344">
        <v>0.2</v>
      </c>
      <c r="G8" s="345">
        <f>F8+D8+B8</f>
        <v>0.60000000000000009</v>
      </c>
      <c r="H8" s="344">
        <v>0.2</v>
      </c>
      <c r="I8" s="345">
        <f>B8+H8+F8+D8</f>
        <v>0.8</v>
      </c>
      <c r="J8" s="344">
        <v>0.2</v>
      </c>
      <c r="K8" s="345">
        <f>B8+D8+J8+H8+F8</f>
        <v>1</v>
      </c>
      <c r="L8" s="344"/>
      <c r="M8" s="345"/>
      <c r="N8" s="87"/>
      <c r="O8" s="20"/>
      <c r="P8" s="87"/>
      <c r="Q8" s="20"/>
      <c r="R8" s="87"/>
      <c r="S8" s="20"/>
      <c r="T8" s="87"/>
      <c r="U8" s="20"/>
      <c r="V8" s="87"/>
      <c r="W8" s="20"/>
      <c r="X8" s="87"/>
      <c r="Y8" s="20"/>
    </row>
    <row r="9" spans="1:25">
      <c r="A9" s="19" t="str">
        <f>IF(QCI!A9="","",QCI!A9)</f>
        <v/>
      </c>
      <c r="B9" s="344"/>
      <c r="C9" s="345"/>
      <c r="D9" s="344"/>
      <c r="E9" s="345"/>
      <c r="F9" s="344"/>
      <c r="G9" s="345"/>
      <c r="H9" s="344"/>
      <c r="I9" s="345"/>
      <c r="J9" s="344"/>
      <c r="K9" s="345"/>
      <c r="L9" s="344"/>
      <c r="M9" s="345"/>
      <c r="N9" s="87"/>
      <c r="O9" s="20"/>
      <c r="P9" s="87"/>
      <c r="Q9" s="20"/>
      <c r="R9" s="87"/>
      <c r="S9" s="20"/>
      <c r="T9" s="87"/>
      <c r="U9" s="20"/>
      <c r="V9" s="87"/>
      <c r="W9" s="20"/>
      <c r="X9" s="87"/>
      <c r="Y9" s="20"/>
    </row>
    <row r="10" spans="1:25">
      <c r="A10" s="19" t="str">
        <f>IF(QCI!A10="","",QCI!A10)</f>
        <v/>
      </c>
      <c r="B10" s="344"/>
      <c r="C10" s="345"/>
      <c r="D10" s="344"/>
      <c r="E10" s="345"/>
      <c r="F10" s="344"/>
      <c r="G10" s="345"/>
      <c r="H10" s="344"/>
      <c r="I10" s="345"/>
      <c r="J10" s="344"/>
      <c r="K10" s="345"/>
      <c r="L10" s="344"/>
      <c r="M10" s="345"/>
      <c r="N10" s="87"/>
      <c r="O10" s="20"/>
      <c r="P10" s="87"/>
      <c r="Q10" s="20"/>
      <c r="R10" s="87"/>
      <c r="S10" s="20"/>
      <c r="T10" s="87"/>
      <c r="U10" s="20"/>
      <c r="V10" s="87"/>
      <c r="W10" s="20"/>
      <c r="X10" s="87"/>
      <c r="Y10" s="20"/>
    </row>
    <row r="11" spans="1:25">
      <c r="A11" s="19" t="str">
        <f>IF(QCI!A11="","",QCI!A11)</f>
        <v/>
      </c>
      <c r="B11" s="85"/>
      <c r="C11" s="86"/>
      <c r="D11" s="85"/>
      <c r="E11" s="86"/>
      <c r="F11" s="85"/>
      <c r="G11" s="86"/>
      <c r="H11" s="85"/>
      <c r="I11" s="345"/>
      <c r="J11" s="85"/>
      <c r="K11" s="345"/>
      <c r="L11" s="85"/>
      <c r="M11" s="86"/>
      <c r="N11" s="87"/>
      <c r="O11" s="20"/>
      <c r="P11" s="87"/>
      <c r="Q11" s="20"/>
      <c r="R11" s="87"/>
      <c r="S11" s="20"/>
      <c r="T11" s="87"/>
      <c r="U11" s="20"/>
      <c r="V11" s="87"/>
      <c r="W11" s="20"/>
      <c r="X11" s="87"/>
      <c r="Y11" s="20"/>
    </row>
    <row r="12" spans="1:25">
      <c r="A12" s="19" t="str">
        <f>IF(QCI!A12="","",QCI!A12)</f>
        <v/>
      </c>
      <c r="B12" s="87"/>
      <c r="C12" s="20"/>
      <c r="D12" s="87"/>
      <c r="E12" s="20"/>
      <c r="F12" s="87"/>
      <c r="G12" s="20"/>
      <c r="H12" s="87"/>
      <c r="I12" s="20"/>
      <c r="J12" s="87"/>
      <c r="K12" s="20"/>
      <c r="L12" s="87"/>
      <c r="M12" s="20"/>
      <c r="N12" s="87"/>
      <c r="O12" s="20"/>
      <c r="P12" s="87"/>
      <c r="Q12" s="20"/>
      <c r="R12" s="87"/>
      <c r="S12" s="20"/>
      <c r="T12" s="87"/>
      <c r="U12" s="20"/>
      <c r="V12" s="87"/>
      <c r="W12" s="20"/>
      <c r="X12" s="87"/>
      <c r="Y12" s="20"/>
    </row>
    <row r="13" spans="1:25">
      <c r="A13" s="19" t="str">
        <f>IF(QCI!A13="","",QCI!A13)</f>
        <v/>
      </c>
      <c r="B13" s="87"/>
      <c r="C13" s="20"/>
      <c r="D13" s="87"/>
      <c r="E13" s="20"/>
      <c r="F13" s="87"/>
      <c r="G13" s="20"/>
      <c r="H13" s="87"/>
      <c r="I13" s="20"/>
      <c r="J13" s="87"/>
      <c r="K13" s="20"/>
      <c r="L13" s="87"/>
      <c r="M13" s="20"/>
      <c r="N13" s="87"/>
      <c r="O13" s="20"/>
      <c r="P13" s="87"/>
      <c r="Q13" s="20"/>
      <c r="R13" s="87"/>
      <c r="S13" s="20"/>
      <c r="T13" s="87"/>
      <c r="U13" s="20"/>
      <c r="V13" s="87"/>
      <c r="W13" s="20"/>
      <c r="X13" s="87"/>
      <c r="Y13" s="20"/>
    </row>
    <row r="14" spans="1:25">
      <c r="A14" s="19" t="str">
        <f>IF(QCI!A14="","",QCI!A14)</f>
        <v/>
      </c>
      <c r="B14" s="87"/>
      <c r="C14" s="20"/>
      <c r="D14" s="87"/>
      <c r="E14" s="20"/>
      <c r="F14" s="87"/>
      <c r="G14" s="20"/>
      <c r="H14" s="87"/>
      <c r="I14" s="20"/>
      <c r="J14" s="87"/>
      <c r="K14" s="20"/>
      <c r="L14" s="87"/>
      <c r="M14" s="20"/>
      <c r="N14" s="87"/>
      <c r="O14" s="20"/>
      <c r="P14" s="87"/>
      <c r="Q14" s="20"/>
      <c r="R14" s="87"/>
      <c r="S14" s="20"/>
      <c r="T14" s="87"/>
      <c r="U14" s="20"/>
      <c r="V14" s="87"/>
      <c r="W14" s="20"/>
      <c r="X14" s="87"/>
      <c r="Y14" s="20"/>
    </row>
    <row r="15" spans="1:25">
      <c r="A15" s="19" t="str">
        <f>IF(QCI!A15="","",QCI!A15)</f>
        <v/>
      </c>
      <c r="B15" s="87"/>
      <c r="C15" s="20"/>
      <c r="D15" s="87"/>
      <c r="E15" s="20"/>
      <c r="F15" s="87"/>
      <c r="G15" s="20"/>
      <c r="H15" s="87"/>
      <c r="I15" s="20"/>
      <c r="J15" s="87"/>
      <c r="K15" s="20"/>
      <c r="L15" s="87"/>
      <c r="M15" s="20"/>
      <c r="N15" s="87"/>
      <c r="O15" s="20"/>
      <c r="P15" s="87"/>
      <c r="Q15" s="20"/>
      <c r="R15" s="87"/>
      <c r="S15" s="20"/>
      <c r="T15" s="87"/>
      <c r="U15" s="20"/>
      <c r="V15" s="87"/>
      <c r="W15" s="20"/>
      <c r="X15" s="87"/>
      <c r="Y15" s="20"/>
    </row>
    <row r="16" spans="1:25">
      <c r="A16" s="19" t="str">
        <f>IF(QCI!A16="","",QCI!A16)</f>
        <v/>
      </c>
      <c r="B16" s="87"/>
      <c r="C16" s="18"/>
      <c r="D16" s="87"/>
      <c r="E16" s="18"/>
      <c r="F16" s="87"/>
      <c r="G16" s="18"/>
      <c r="H16" s="87"/>
      <c r="I16" s="18"/>
      <c r="J16" s="87"/>
      <c r="K16" s="18"/>
      <c r="L16" s="87"/>
      <c r="M16" s="18"/>
      <c r="N16" s="87"/>
      <c r="O16" s="18"/>
      <c r="P16" s="87"/>
      <c r="Q16" s="18"/>
      <c r="R16" s="87"/>
      <c r="S16" s="18"/>
      <c r="T16" s="87"/>
      <c r="U16" s="18"/>
      <c r="V16" s="87"/>
      <c r="W16" s="18"/>
      <c r="X16" s="87"/>
      <c r="Y16" s="18"/>
    </row>
    <row r="17" spans="1:25">
      <c r="A17" s="19" t="str">
        <f>IF(QCI!A17="","",QCI!A17)</f>
        <v/>
      </c>
      <c r="B17" s="87"/>
      <c r="C17" s="20"/>
      <c r="D17" s="87"/>
      <c r="E17" s="20"/>
      <c r="F17" s="87"/>
      <c r="G17" s="20"/>
      <c r="H17" s="87"/>
      <c r="I17" s="20"/>
      <c r="J17" s="87"/>
      <c r="K17" s="20"/>
      <c r="L17" s="87"/>
      <c r="M17" s="20"/>
      <c r="N17" s="87"/>
      <c r="O17" s="20"/>
      <c r="P17" s="87"/>
      <c r="Q17" s="20"/>
      <c r="R17" s="87"/>
      <c r="S17" s="20"/>
      <c r="T17" s="87"/>
      <c r="U17" s="20"/>
      <c r="V17" s="87"/>
      <c r="W17" s="20"/>
      <c r="X17" s="87"/>
      <c r="Y17" s="20"/>
    </row>
    <row r="18" spans="1:25">
      <c r="A18" s="19"/>
      <c r="B18" s="87"/>
      <c r="C18" s="20"/>
      <c r="D18" s="87"/>
      <c r="E18" s="20"/>
      <c r="F18" s="87"/>
      <c r="G18" s="20"/>
      <c r="H18" s="87"/>
      <c r="I18" s="20"/>
      <c r="J18" s="87"/>
      <c r="K18" s="20"/>
      <c r="L18" s="87"/>
      <c r="M18" s="20"/>
      <c r="N18" s="87"/>
      <c r="O18" s="20"/>
      <c r="P18" s="87"/>
      <c r="Q18" s="20"/>
      <c r="R18" s="87"/>
      <c r="S18" s="20"/>
      <c r="T18" s="87"/>
      <c r="U18" s="20"/>
      <c r="V18" s="87"/>
      <c r="W18" s="20"/>
      <c r="X18" s="87"/>
      <c r="Y18" s="20"/>
    </row>
    <row r="19" spans="1:25">
      <c r="A19" s="19"/>
      <c r="B19" s="87"/>
      <c r="C19" s="20"/>
      <c r="D19" s="87"/>
      <c r="E19" s="20"/>
      <c r="F19" s="87"/>
      <c r="G19" s="20"/>
      <c r="H19" s="87"/>
      <c r="I19" s="20"/>
      <c r="J19" s="87"/>
      <c r="K19" s="20"/>
      <c r="L19" s="87"/>
      <c r="M19" s="20"/>
      <c r="N19" s="87"/>
      <c r="O19" s="20"/>
      <c r="P19" s="87"/>
      <c r="Q19" s="20"/>
      <c r="R19" s="87"/>
      <c r="S19" s="20"/>
      <c r="T19" s="87"/>
      <c r="U19" s="20"/>
      <c r="V19" s="87"/>
      <c r="W19" s="20"/>
      <c r="X19" s="87"/>
      <c r="Y19" s="20"/>
    </row>
    <row r="20" spans="1:25">
      <c r="A20" s="19"/>
      <c r="B20" s="87"/>
      <c r="C20" s="18"/>
      <c r="D20" s="87"/>
      <c r="E20" s="18"/>
      <c r="F20" s="87"/>
      <c r="G20" s="18"/>
      <c r="H20" s="87"/>
      <c r="I20" s="18"/>
      <c r="J20" s="87"/>
      <c r="K20" s="18"/>
      <c r="L20" s="87"/>
      <c r="M20" s="18"/>
      <c r="N20" s="87"/>
      <c r="O20" s="18"/>
      <c r="P20" s="87"/>
      <c r="Q20" s="18"/>
      <c r="R20" s="87"/>
      <c r="S20" s="18"/>
      <c r="T20" s="87"/>
      <c r="U20" s="18"/>
      <c r="V20" s="87"/>
      <c r="W20" s="18"/>
      <c r="X20" s="87"/>
      <c r="Y20" s="18"/>
    </row>
    <row r="21" spans="1:25">
      <c r="A21" s="19"/>
      <c r="B21" s="87"/>
      <c r="C21" s="20"/>
      <c r="D21" s="87"/>
      <c r="E21" s="20"/>
      <c r="F21" s="87"/>
      <c r="G21" s="20"/>
      <c r="H21" s="87"/>
      <c r="I21" s="20"/>
      <c r="J21" s="87"/>
      <c r="K21" s="20"/>
      <c r="L21" s="87"/>
      <c r="M21" s="20"/>
      <c r="N21" s="87"/>
      <c r="O21" s="20"/>
      <c r="P21" s="87"/>
      <c r="Q21" s="20"/>
      <c r="R21" s="87"/>
      <c r="S21" s="20"/>
      <c r="T21" s="87"/>
      <c r="U21" s="20"/>
      <c r="V21" s="87"/>
      <c r="W21" s="20"/>
      <c r="X21" s="87"/>
      <c r="Y21" s="20"/>
    </row>
    <row r="22" spans="1:25">
      <c r="A22" s="19"/>
      <c r="B22" s="87"/>
      <c r="C22" s="20"/>
      <c r="D22" s="87"/>
      <c r="E22" s="20"/>
      <c r="F22" s="87"/>
      <c r="G22" s="20"/>
      <c r="H22" s="87"/>
      <c r="I22" s="20"/>
      <c r="J22" s="87"/>
      <c r="K22" s="20"/>
      <c r="L22" s="87"/>
      <c r="M22" s="20"/>
      <c r="N22" s="87"/>
      <c r="O22" s="20"/>
      <c r="P22" s="87"/>
      <c r="Q22" s="20"/>
      <c r="R22" s="87"/>
      <c r="S22" s="20"/>
      <c r="T22" s="87"/>
      <c r="U22" s="20"/>
      <c r="V22" s="87"/>
      <c r="W22" s="20"/>
      <c r="X22" s="87"/>
      <c r="Y22" s="20"/>
    </row>
    <row r="23" spans="1:25">
      <c r="A23" s="4" t="s">
        <v>43</v>
      </c>
      <c r="B23" s="419">
        <f>(B7*QCI!$H$7+B8*QCI!$H$8+B9*QCI!$H$9+B10*QCI!$H$10+B11*QCI!$H$11)/QCI!$H$37</f>
        <v>0.23475681283564692</v>
      </c>
      <c r="C23" s="420">
        <f>(C7*QCI!$H$7+C8*QCI!$H$8+C9*QCI!$H$9+C10*QCI!$H$10+C11*QCI!$H$11)/QCI!$H$37</f>
        <v>0.23475681283564692</v>
      </c>
      <c r="D23" s="419">
        <f>(D7*QCI!$H$7+D8*QCI!$H$8+D9*QCI!$H$9+D10*QCI!$H$10+D11*QCI!$H$11)/QCI!$H$37</f>
        <v>0.19131079679108828</v>
      </c>
      <c r="E23" s="420">
        <f>(E7*QCI!$H$7+E8*QCI!$H$8+E9*QCI!$H$9+E10*QCI!$H$10+E11*QCI!$H$11)/QCI!$H$37</f>
        <v>0.38262159358217657</v>
      </c>
      <c r="F23" s="419">
        <f>(F7*QCI!$H$7+F8*QCI!$H$8+F9*QCI!$H$9+F10*QCI!$H$10+F11*QCI!$H$11)/QCI!$H$37</f>
        <v>0.19131079679108828</v>
      </c>
      <c r="G23" s="420">
        <f>(G7*QCI!$H$7+G8*QCI!$H$8+G9*QCI!$H$9+G10*QCI!$H$10+G11*QCI!$H$11)/QCI!$H$37</f>
        <v>0.57393239037326493</v>
      </c>
      <c r="H23" s="419">
        <f>(H7*QCI!$H$7+H8*QCI!$H$8+H9*QCI!$H$9+H10*QCI!$H$10+H11*QCI!$H$11)/QCI!$H$37</f>
        <v>0.19131079679108828</v>
      </c>
      <c r="I23" s="420">
        <f>(I7*QCI!$H$7+I8*QCI!$H$8+I9*QCI!$H$9+I10*QCI!$H$10+I11*QCI!$H$11)/QCI!$H$37</f>
        <v>0.76524318716435313</v>
      </c>
      <c r="J23" s="419">
        <f>(J7*QCI!$H$7+J8*QCI!$H$8+J9*QCI!$H$9+J10*QCI!$H$10+J11*QCI!$H$11)/QCI!$H$37</f>
        <v>0.19131079679108828</v>
      </c>
      <c r="K23" s="420">
        <f>(K7*QCI!$H$7+K8*QCI!$H$8+K9*QCI!$H$9+K10*QCI!$H$10+K11*QCI!$H$11)/QCI!$H$37</f>
        <v>0.95655398395544144</v>
      </c>
      <c r="L23" s="250"/>
      <c r="M23" s="3"/>
      <c r="N23" s="250"/>
      <c r="O23" s="251"/>
      <c r="P23" s="250"/>
      <c r="Q23" s="251"/>
      <c r="R23" s="250"/>
      <c r="S23" s="251"/>
      <c r="T23" s="250"/>
      <c r="U23" s="251"/>
      <c r="V23" s="250"/>
      <c r="W23" s="251"/>
      <c r="X23" s="250"/>
      <c r="Y23" s="3"/>
    </row>
    <row r="24" spans="1:25">
      <c r="A24" s="2" t="s">
        <v>44</v>
      </c>
      <c r="B24" s="571"/>
      <c r="C24" s="572"/>
      <c r="D24" s="571"/>
      <c r="E24" s="572"/>
      <c r="F24" s="571"/>
      <c r="G24" s="572"/>
      <c r="H24" s="571"/>
      <c r="I24" s="572"/>
      <c r="J24" s="571"/>
      <c r="K24" s="572"/>
      <c r="L24" s="564"/>
      <c r="M24" s="565"/>
      <c r="N24" s="564"/>
      <c r="O24" s="565"/>
      <c r="P24" s="564"/>
      <c r="Q24" s="565"/>
      <c r="R24" s="564"/>
      <c r="S24" s="565"/>
      <c r="T24" s="564"/>
      <c r="U24" s="565"/>
      <c r="V24" s="564"/>
      <c r="W24" s="565"/>
      <c r="X24" s="564"/>
      <c r="Y24" s="565"/>
    </row>
    <row r="25" spans="1:25">
      <c r="A25" s="3" t="s">
        <v>45</v>
      </c>
      <c r="B25" s="573">
        <f>B7*QCI!$H$7+B8*QCI!$H$8+B9*QCI!$H$9+B10*QCI!$H$10+B11*QCI!$H$11</f>
        <v>266698.68400000001</v>
      </c>
      <c r="C25" s="572"/>
      <c r="D25" s="573">
        <f>D7*QCI!$H$7+D8*QCI!$H$8+D9*QCI!$H$9+D10*QCI!$H$10+D11*QCI!$H$11</f>
        <v>217341.24400000001</v>
      </c>
      <c r="E25" s="572"/>
      <c r="F25" s="573">
        <f>F7*QCI!$H$7+F8*QCI!$H$8+F9*QCI!$H$9+F10*QCI!$H$10+F11*QCI!$H$11</f>
        <v>217341.24400000001</v>
      </c>
      <c r="G25" s="572"/>
      <c r="H25" s="573">
        <f>H7*QCI!$H$7+H8*QCI!$H$8+H9*QCI!$H$9+H10*QCI!$H$10+H11*QCI!$H$11</f>
        <v>217341.24400000001</v>
      </c>
      <c r="I25" s="572"/>
      <c r="J25" s="573">
        <f>J7*QCI!$H$7+J8*QCI!$H$8+J9*QCI!$H$9+J10*QCI!$H$10+J11*QCI!$H$11</f>
        <v>217341.24400000001</v>
      </c>
      <c r="K25" s="572"/>
      <c r="L25" s="574"/>
      <c r="M25" s="565"/>
      <c r="N25" s="564"/>
      <c r="O25" s="565"/>
      <c r="P25" s="564"/>
      <c r="Q25" s="565"/>
      <c r="R25" s="564"/>
      <c r="S25" s="565"/>
      <c r="T25" s="564"/>
      <c r="U25" s="565"/>
      <c r="V25" s="564"/>
      <c r="W25" s="565"/>
      <c r="X25" s="564"/>
      <c r="Y25" s="565"/>
    </row>
    <row r="26" spans="1:25">
      <c r="A26" s="3" t="s">
        <v>46</v>
      </c>
      <c r="B26" s="571"/>
      <c r="C26" s="572"/>
      <c r="D26" s="571"/>
      <c r="E26" s="572"/>
      <c r="F26" s="571"/>
      <c r="G26" s="572"/>
      <c r="H26" s="571"/>
      <c r="I26" s="572"/>
      <c r="J26" s="571"/>
      <c r="K26" s="572"/>
      <c r="L26" s="564"/>
      <c r="M26" s="565"/>
      <c r="N26" s="564"/>
      <c r="O26" s="565"/>
      <c r="P26" s="564"/>
      <c r="Q26" s="565"/>
      <c r="R26" s="564"/>
      <c r="S26" s="565"/>
      <c r="T26" s="564"/>
      <c r="U26" s="565"/>
      <c r="V26" s="564"/>
      <c r="W26" s="565"/>
      <c r="X26" s="564"/>
      <c r="Y26" s="565"/>
    </row>
    <row r="27" spans="1:25">
      <c r="A27" s="3" t="s">
        <v>47</v>
      </c>
      <c r="B27" s="571"/>
      <c r="C27" s="572"/>
      <c r="D27" s="571"/>
      <c r="E27" s="572"/>
      <c r="F27" s="571"/>
      <c r="G27" s="572"/>
      <c r="H27" s="571"/>
      <c r="I27" s="572"/>
      <c r="J27" s="571"/>
      <c r="K27" s="572"/>
      <c r="L27" s="564"/>
      <c r="M27" s="565"/>
      <c r="N27" s="564"/>
      <c r="O27" s="565"/>
      <c r="P27" s="564"/>
      <c r="Q27" s="565"/>
      <c r="R27" s="564"/>
      <c r="S27" s="565"/>
      <c r="T27" s="564"/>
      <c r="U27" s="565"/>
      <c r="V27" s="564"/>
      <c r="W27" s="565"/>
      <c r="X27" s="564"/>
      <c r="Y27" s="565"/>
    </row>
    <row r="28" spans="1:25">
      <c r="A28" s="3" t="s">
        <v>48</v>
      </c>
      <c r="B28" s="567">
        <f>SUM(B24:C27)</f>
        <v>266698.68400000001</v>
      </c>
      <c r="C28" s="568"/>
      <c r="D28" s="567">
        <f t="shared" ref="D28" si="0">SUM(D24:E27)</f>
        <v>217341.24400000001</v>
      </c>
      <c r="E28" s="568"/>
      <c r="F28" s="567">
        <f t="shared" ref="F28:H28" si="1">SUM(F24:G27)</f>
        <v>217341.24400000001</v>
      </c>
      <c r="G28" s="568"/>
      <c r="H28" s="567">
        <f t="shared" si="1"/>
        <v>217341.24400000001</v>
      </c>
      <c r="I28" s="568"/>
      <c r="J28" s="567">
        <f t="shared" ref="J28" si="2">SUM(J24:K27)</f>
        <v>217341.24400000001</v>
      </c>
      <c r="K28" s="568"/>
      <c r="L28" s="569"/>
      <c r="M28" s="570"/>
      <c r="N28" s="564"/>
      <c r="O28" s="565"/>
      <c r="P28" s="564"/>
      <c r="Q28" s="565"/>
      <c r="R28" s="564"/>
      <c r="S28" s="565"/>
      <c r="T28" s="564"/>
      <c r="U28" s="565"/>
      <c r="V28" s="564"/>
      <c r="W28" s="565"/>
      <c r="X28" s="564"/>
      <c r="Y28" s="565"/>
    </row>
    <row r="29" spans="1:25">
      <c r="A29" s="21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22"/>
    </row>
    <row r="30" spans="1:2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23"/>
    </row>
    <row r="31" spans="1:2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23"/>
    </row>
    <row r="32" spans="1:25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23"/>
    </row>
    <row r="33" spans="1:25">
      <c r="A33" s="6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23"/>
    </row>
    <row r="34" spans="1:25">
      <c r="A34" s="6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23"/>
    </row>
    <row r="35" spans="1:25">
      <c r="A35" s="6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23"/>
    </row>
    <row r="36" spans="1:25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23"/>
    </row>
    <row r="37" spans="1:25">
      <c r="A37" s="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23"/>
    </row>
    <row r="38" spans="1:25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23"/>
    </row>
    <row r="39" spans="1:25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23"/>
    </row>
    <row r="40" spans="1:25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23"/>
    </row>
    <row r="41" spans="1:25">
      <c r="A41" s="6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23"/>
    </row>
    <row r="42" spans="1:25">
      <c r="A42" s="6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23"/>
    </row>
    <row r="43" spans="1:25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23"/>
    </row>
    <row r="44" spans="1:2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23"/>
    </row>
    <row r="45" spans="1:25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23"/>
    </row>
    <row r="46" spans="1:25">
      <c r="A46" s="6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23"/>
    </row>
    <row r="47" spans="1:25">
      <c r="A47" s="6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23"/>
    </row>
    <row r="48" spans="1:25">
      <c r="A48" s="6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23"/>
    </row>
    <row r="49" spans="1:25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23"/>
    </row>
    <row r="50" spans="1:25">
      <c r="A50" s="6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23"/>
    </row>
    <row r="51" spans="1:25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23"/>
    </row>
    <row r="52" spans="1:25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23"/>
    </row>
    <row r="53" spans="1:25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23"/>
    </row>
    <row r="54" spans="1:25">
      <c r="A54" s="6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23"/>
    </row>
    <row r="55" spans="1:25">
      <c r="A55" s="6"/>
      <c r="B55" s="14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566"/>
      <c r="W55" s="566"/>
      <c r="X55" s="566"/>
      <c r="Y55" s="23"/>
    </row>
    <row r="56" spans="1:25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2"/>
      <c r="X56" s="12"/>
      <c r="Y56" s="24"/>
    </row>
  </sheetData>
  <mergeCells count="82">
    <mergeCell ref="A1:A3"/>
    <mergeCell ref="V3:Y3"/>
    <mergeCell ref="A5:A6"/>
    <mergeCell ref="B5:C5"/>
    <mergeCell ref="D5:E5"/>
    <mergeCell ref="F5:G5"/>
    <mergeCell ref="H5:I5"/>
    <mergeCell ref="X5:Y5"/>
    <mergeCell ref="T5:U5"/>
    <mergeCell ref="V5:W5"/>
    <mergeCell ref="B1:Y1"/>
    <mergeCell ref="V2:Y2"/>
    <mergeCell ref="N2:Q2"/>
    <mergeCell ref="B3:U3"/>
    <mergeCell ref="B2:M2"/>
    <mergeCell ref="L5:M5"/>
    <mergeCell ref="N5:O5"/>
    <mergeCell ref="P5:Q5"/>
    <mergeCell ref="R5:S5"/>
    <mergeCell ref="B24:C24"/>
    <mergeCell ref="D24:E24"/>
    <mergeCell ref="F24:G24"/>
    <mergeCell ref="H24:I24"/>
    <mergeCell ref="J24:K24"/>
    <mergeCell ref="J5:K5"/>
    <mergeCell ref="T24:U24"/>
    <mergeCell ref="V24:W24"/>
    <mergeCell ref="X24:Y24"/>
    <mergeCell ref="B25:C25"/>
    <mergeCell ref="D25:E25"/>
    <mergeCell ref="F25:G25"/>
    <mergeCell ref="H25:I25"/>
    <mergeCell ref="J25:K25"/>
    <mergeCell ref="L25:M25"/>
    <mergeCell ref="N25:O25"/>
    <mergeCell ref="X25:Y25"/>
    <mergeCell ref="L24:M24"/>
    <mergeCell ref="N24:O24"/>
    <mergeCell ref="P24:Q24"/>
    <mergeCell ref="R24:S24"/>
    <mergeCell ref="B26:C26"/>
    <mergeCell ref="D26:E26"/>
    <mergeCell ref="F26:G26"/>
    <mergeCell ref="H26:I26"/>
    <mergeCell ref="J26:K26"/>
    <mergeCell ref="V55:X55"/>
    <mergeCell ref="T27:U27"/>
    <mergeCell ref="V27:W27"/>
    <mergeCell ref="X27:Y27"/>
    <mergeCell ref="B28:C28"/>
    <mergeCell ref="D28:E28"/>
    <mergeCell ref="F28:G28"/>
    <mergeCell ref="H28:I28"/>
    <mergeCell ref="J28:K28"/>
    <mergeCell ref="L28:M28"/>
    <mergeCell ref="N28:O28"/>
    <mergeCell ref="B27:C27"/>
    <mergeCell ref="D27:E27"/>
    <mergeCell ref="F27:G27"/>
    <mergeCell ref="H27:I27"/>
    <mergeCell ref="J27:K27"/>
    <mergeCell ref="P28:Q28"/>
    <mergeCell ref="R28:S28"/>
    <mergeCell ref="T28:U28"/>
    <mergeCell ref="V28:W28"/>
    <mergeCell ref="X28:Y28"/>
    <mergeCell ref="R2:U2"/>
    <mergeCell ref="X26:Y26"/>
    <mergeCell ref="L27:M27"/>
    <mergeCell ref="N27:O27"/>
    <mergeCell ref="P27:Q27"/>
    <mergeCell ref="R27:S27"/>
    <mergeCell ref="L26:M26"/>
    <mergeCell ref="N26:O26"/>
    <mergeCell ref="P26:Q26"/>
    <mergeCell ref="R26:S26"/>
    <mergeCell ref="T26:U26"/>
    <mergeCell ref="V26:W26"/>
    <mergeCell ref="P25:Q25"/>
    <mergeCell ref="R25:S25"/>
    <mergeCell ref="T25:U25"/>
    <mergeCell ref="V25:W2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67"/>
  <sheetViews>
    <sheetView showGridLines="0" view="pageBreakPreview" zoomScaleNormal="100" zoomScaleSheetLayoutView="100" workbookViewId="0">
      <selection activeCell="F10" sqref="F10"/>
    </sheetView>
  </sheetViews>
  <sheetFormatPr defaultRowHeight="12.75"/>
  <cols>
    <col min="1" max="1" width="6.28515625" style="105" customWidth="1"/>
    <col min="2" max="2" width="6.5703125" style="105" bestFit="1" customWidth="1"/>
    <col min="3" max="3" width="9" style="105" customWidth="1"/>
    <col min="4" max="4" width="9.28515625" style="105" customWidth="1"/>
    <col min="5" max="5" width="8.5703125" style="105" customWidth="1"/>
    <col min="6" max="6" width="11.140625" style="105" customWidth="1"/>
    <col min="7" max="7" width="8" style="105" bestFit="1" customWidth="1"/>
    <col min="8" max="8" width="5.28515625" style="105" customWidth="1"/>
    <col min="9" max="9" width="8" style="105" bestFit="1" customWidth="1"/>
    <col min="10" max="10" width="8.42578125" style="105" customWidth="1"/>
    <col min="11" max="11" width="20.140625" style="105" customWidth="1"/>
    <col min="12" max="12" width="5.7109375" style="105" bestFit="1" customWidth="1"/>
    <col min="13" max="256" width="9.140625" style="105"/>
    <col min="257" max="257" width="6.28515625" style="105" customWidth="1"/>
    <col min="258" max="258" width="6.5703125" style="105" bestFit="1" customWidth="1"/>
    <col min="259" max="259" width="9" style="105" customWidth="1"/>
    <col min="260" max="260" width="9.28515625" style="105" customWidth="1"/>
    <col min="261" max="261" width="8.5703125" style="105" customWidth="1"/>
    <col min="262" max="262" width="11.140625" style="105" customWidth="1"/>
    <col min="263" max="263" width="8" style="105" bestFit="1" customWidth="1"/>
    <col min="264" max="264" width="5.28515625" style="105" customWidth="1"/>
    <col min="265" max="265" width="8" style="105" bestFit="1" customWidth="1"/>
    <col min="266" max="266" width="8.42578125" style="105" customWidth="1"/>
    <col min="267" max="267" width="20.140625" style="105" customWidth="1"/>
    <col min="268" max="268" width="5.7109375" style="105" bestFit="1" customWidth="1"/>
    <col min="269" max="512" width="9.140625" style="105"/>
    <col min="513" max="513" width="6.28515625" style="105" customWidth="1"/>
    <col min="514" max="514" width="6.5703125" style="105" bestFit="1" customWidth="1"/>
    <col min="515" max="515" width="9" style="105" customWidth="1"/>
    <col min="516" max="516" width="9.28515625" style="105" customWidth="1"/>
    <col min="517" max="517" width="8.5703125" style="105" customWidth="1"/>
    <col min="518" max="518" width="11.140625" style="105" customWidth="1"/>
    <col min="519" max="519" width="8" style="105" bestFit="1" customWidth="1"/>
    <col min="520" max="520" width="5.28515625" style="105" customWidth="1"/>
    <col min="521" max="521" width="8" style="105" bestFit="1" customWidth="1"/>
    <col min="522" max="522" width="8.42578125" style="105" customWidth="1"/>
    <col min="523" max="523" width="20.140625" style="105" customWidth="1"/>
    <col min="524" max="524" width="5.7109375" style="105" bestFit="1" customWidth="1"/>
    <col min="525" max="768" width="9.140625" style="105"/>
    <col min="769" max="769" width="6.28515625" style="105" customWidth="1"/>
    <col min="770" max="770" width="6.5703125" style="105" bestFit="1" customWidth="1"/>
    <col min="771" max="771" width="9" style="105" customWidth="1"/>
    <col min="772" max="772" width="9.28515625" style="105" customWidth="1"/>
    <col min="773" max="773" width="8.5703125" style="105" customWidth="1"/>
    <col min="774" max="774" width="11.140625" style="105" customWidth="1"/>
    <col min="775" max="775" width="8" style="105" bestFit="1" customWidth="1"/>
    <col min="776" max="776" width="5.28515625" style="105" customWidth="1"/>
    <col min="777" max="777" width="8" style="105" bestFit="1" customWidth="1"/>
    <col min="778" max="778" width="8.42578125" style="105" customWidth="1"/>
    <col min="779" max="779" width="20.140625" style="105" customWidth="1"/>
    <col min="780" max="780" width="5.7109375" style="105" bestFit="1" customWidth="1"/>
    <col min="781" max="1024" width="9.140625" style="105"/>
    <col min="1025" max="1025" width="6.28515625" style="105" customWidth="1"/>
    <col min="1026" max="1026" width="6.5703125" style="105" bestFit="1" customWidth="1"/>
    <col min="1027" max="1027" width="9" style="105" customWidth="1"/>
    <col min="1028" max="1028" width="9.28515625" style="105" customWidth="1"/>
    <col min="1029" max="1029" width="8.5703125" style="105" customWidth="1"/>
    <col min="1030" max="1030" width="11.140625" style="105" customWidth="1"/>
    <col min="1031" max="1031" width="8" style="105" bestFit="1" customWidth="1"/>
    <col min="1032" max="1032" width="5.28515625" style="105" customWidth="1"/>
    <col min="1033" max="1033" width="8" style="105" bestFit="1" customWidth="1"/>
    <col min="1034" max="1034" width="8.42578125" style="105" customWidth="1"/>
    <col min="1035" max="1035" width="20.140625" style="105" customWidth="1"/>
    <col min="1036" max="1036" width="5.7109375" style="105" bestFit="1" customWidth="1"/>
    <col min="1037" max="1280" width="9.140625" style="105"/>
    <col min="1281" max="1281" width="6.28515625" style="105" customWidth="1"/>
    <col min="1282" max="1282" width="6.5703125" style="105" bestFit="1" customWidth="1"/>
    <col min="1283" max="1283" width="9" style="105" customWidth="1"/>
    <col min="1284" max="1284" width="9.28515625" style="105" customWidth="1"/>
    <col min="1285" max="1285" width="8.5703125" style="105" customWidth="1"/>
    <col min="1286" max="1286" width="11.140625" style="105" customWidth="1"/>
    <col min="1287" max="1287" width="8" style="105" bestFit="1" customWidth="1"/>
    <col min="1288" max="1288" width="5.28515625" style="105" customWidth="1"/>
    <col min="1289" max="1289" width="8" style="105" bestFit="1" customWidth="1"/>
    <col min="1290" max="1290" width="8.42578125" style="105" customWidth="1"/>
    <col min="1291" max="1291" width="20.140625" style="105" customWidth="1"/>
    <col min="1292" max="1292" width="5.7109375" style="105" bestFit="1" customWidth="1"/>
    <col min="1293" max="1536" width="9.140625" style="105"/>
    <col min="1537" max="1537" width="6.28515625" style="105" customWidth="1"/>
    <col min="1538" max="1538" width="6.5703125" style="105" bestFit="1" customWidth="1"/>
    <col min="1539" max="1539" width="9" style="105" customWidth="1"/>
    <col min="1540" max="1540" width="9.28515625" style="105" customWidth="1"/>
    <col min="1541" max="1541" width="8.5703125" style="105" customWidth="1"/>
    <col min="1542" max="1542" width="11.140625" style="105" customWidth="1"/>
    <col min="1543" max="1543" width="8" style="105" bestFit="1" customWidth="1"/>
    <col min="1544" max="1544" width="5.28515625" style="105" customWidth="1"/>
    <col min="1545" max="1545" width="8" style="105" bestFit="1" customWidth="1"/>
    <col min="1546" max="1546" width="8.42578125" style="105" customWidth="1"/>
    <col min="1547" max="1547" width="20.140625" style="105" customWidth="1"/>
    <col min="1548" max="1548" width="5.7109375" style="105" bestFit="1" customWidth="1"/>
    <col min="1549" max="1792" width="9.140625" style="105"/>
    <col min="1793" max="1793" width="6.28515625" style="105" customWidth="1"/>
    <col min="1794" max="1794" width="6.5703125" style="105" bestFit="1" customWidth="1"/>
    <col min="1795" max="1795" width="9" style="105" customWidth="1"/>
    <col min="1796" max="1796" width="9.28515625" style="105" customWidth="1"/>
    <col min="1797" max="1797" width="8.5703125" style="105" customWidth="1"/>
    <col min="1798" max="1798" width="11.140625" style="105" customWidth="1"/>
    <col min="1799" max="1799" width="8" style="105" bestFit="1" customWidth="1"/>
    <col min="1800" max="1800" width="5.28515625" style="105" customWidth="1"/>
    <col min="1801" max="1801" width="8" style="105" bestFit="1" customWidth="1"/>
    <col min="1802" max="1802" width="8.42578125" style="105" customWidth="1"/>
    <col min="1803" max="1803" width="20.140625" style="105" customWidth="1"/>
    <col min="1804" max="1804" width="5.7109375" style="105" bestFit="1" customWidth="1"/>
    <col min="1805" max="2048" width="9.140625" style="105"/>
    <col min="2049" max="2049" width="6.28515625" style="105" customWidth="1"/>
    <col min="2050" max="2050" width="6.5703125" style="105" bestFit="1" customWidth="1"/>
    <col min="2051" max="2051" width="9" style="105" customWidth="1"/>
    <col min="2052" max="2052" width="9.28515625" style="105" customWidth="1"/>
    <col min="2053" max="2053" width="8.5703125" style="105" customWidth="1"/>
    <col min="2054" max="2054" width="11.140625" style="105" customWidth="1"/>
    <col min="2055" max="2055" width="8" style="105" bestFit="1" customWidth="1"/>
    <col min="2056" max="2056" width="5.28515625" style="105" customWidth="1"/>
    <col min="2057" max="2057" width="8" style="105" bestFit="1" customWidth="1"/>
    <col min="2058" max="2058" width="8.42578125" style="105" customWidth="1"/>
    <col min="2059" max="2059" width="20.140625" style="105" customWidth="1"/>
    <col min="2060" max="2060" width="5.7109375" style="105" bestFit="1" customWidth="1"/>
    <col min="2061" max="2304" width="9.140625" style="105"/>
    <col min="2305" max="2305" width="6.28515625" style="105" customWidth="1"/>
    <col min="2306" max="2306" width="6.5703125" style="105" bestFit="1" customWidth="1"/>
    <col min="2307" max="2307" width="9" style="105" customWidth="1"/>
    <col min="2308" max="2308" width="9.28515625" style="105" customWidth="1"/>
    <col min="2309" max="2309" width="8.5703125" style="105" customWidth="1"/>
    <col min="2310" max="2310" width="11.140625" style="105" customWidth="1"/>
    <col min="2311" max="2311" width="8" style="105" bestFit="1" customWidth="1"/>
    <col min="2312" max="2312" width="5.28515625" style="105" customWidth="1"/>
    <col min="2313" max="2313" width="8" style="105" bestFit="1" customWidth="1"/>
    <col min="2314" max="2314" width="8.42578125" style="105" customWidth="1"/>
    <col min="2315" max="2315" width="20.140625" style="105" customWidth="1"/>
    <col min="2316" max="2316" width="5.7109375" style="105" bestFit="1" customWidth="1"/>
    <col min="2317" max="2560" width="9.140625" style="105"/>
    <col min="2561" max="2561" width="6.28515625" style="105" customWidth="1"/>
    <col min="2562" max="2562" width="6.5703125" style="105" bestFit="1" customWidth="1"/>
    <col min="2563" max="2563" width="9" style="105" customWidth="1"/>
    <col min="2564" max="2564" width="9.28515625" style="105" customWidth="1"/>
    <col min="2565" max="2565" width="8.5703125" style="105" customWidth="1"/>
    <col min="2566" max="2566" width="11.140625" style="105" customWidth="1"/>
    <col min="2567" max="2567" width="8" style="105" bestFit="1" customWidth="1"/>
    <col min="2568" max="2568" width="5.28515625" style="105" customWidth="1"/>
    <col min="2569" max="2569" width="8" style="105" bestFit="1" customWidth="1"/>
    <col min="2570" max="2570" width="8.42578125" style="105" customWidth="1"/>
    <col min="2571" max="2571" width="20.140625" style="105" customWidth="1"/>
    <col min="2572" max="2572" width="5.7109375" style="105" bestFit="1" customWidth="1"/>
    <col min="2573" max="2816" width="9.140625" style="105"/>
    <col min="2817" max="2817" width="6.28515625" style="105" customWidth="1"/>
    <col min="2818" max="2818" width="6.5703125" style="105" bestFit="1" customWidth="1"/>
    <col min="2819" max="2819" width="9" style="105" customWidth="1"/>
    <col min="2820" max="2820" width="9.28515625" style="105" customWidth="1"/>
    <col min="2821" max="2821" width="8.5703125" style="105" customWidth="1"/>
    <col min="2822" max="2822" width="11.140625" style="105" customWidth="1"/>
    <col min="2823" max="2823" width="8" style="105" bestFit="1" customWidth="1"/>
    <col min="2824" max="2824" width="5.28515625" style="105" customWidth="1"/>
    <col min="2825" max="2825" width="8" style="105" bestFit="1" customWidth="1"/>
    <col min="2826" max="2826" width="8.42578125" style="105" customWidth="1"/>
    <col min="2827" max="2827" width="20.140625" style="105" customWidth="1"/>
    <col min="2828" max="2828" width="5.7109375" style="105" bestFit="1" customWidth="1"/>
    <col min="2829" max="3072" width="9.140625" style="105"/>
    <col min="3073" max="3073" width="6.28515625" style="105" customWidth="1"/>
    <col min="3074" max="3074" width="6.5703125" style="105" bestFit="1" customWidth="1"/>
    <col min="3075" max="3075" width="9" style="105" customWidth="1"/>
    <col min="3076" max="3076" width="9.28515625" style="105" customWidth="1"/>
    <col min="3077" max="3077" width="8.5703125" style="105" customWidth="1"/>
    <col min="3078" max="3078" width="11.140625" style="105" customWidth="1"/>
    <col min="3079" max="3079" width="8" style="105" bestFit="1" customWidth="1"/>
    <col min="3080" max="3080" width="5.28515625" style="105" customWidth="1"/>
    <col min="3081" max="3081" width="8" style="105" bestFit="1" customWidth="1"/>
    <col min="3082" max="3082" width="8.42578125" style="105" customWidth="1"/>
    <col min="3083" max="3083" width="20.140625" style="105" customWidth="1"/>
    <col min="3084" max="3084" width="5.7109375" style="105" bestFit="1" customWidth="1"/>
    <col min="3085" max="3328" width="9.140625" style="105"/>
    <col min="3329" max="3329" width="6.28515625" style="105" customWidth="1"/>
    <col min="3330" max="3330" width="6.5703125" style="105" bestFit="1" customWidth="1"/>
    <col min="3331" max="3331" width="9" style="105" customWidth="1"/>
    <col min="3332" max="3332" width="9.28515625" style="105" customWidth="1"/>
    <col min="3333" max="3333" width="8.5703125" style="105" customWidth="1"/>
    <col min="3334" max="3334" width="11.140625" style="105" customWidth="1"/>
    <col min="3335" max="3335" width="8" style="105" bestFit="1" customWidth="1"/>
    <col min="3336" max="3336" width="5.28515625" style="105" customWidth="1"/>
    <col min="3337" max="3337" width="8" style="105" bestFit="1" customWidth="1"/>
    <col min="3338" max="3338" width="8.42578125" style="105" customWidth="1"/>
    <col min="3339" max="3339" width="20.140625" style="105" customWidth="1"/>
    <col min="3340" max="3340" width="5.7109375" style="105" bestFit="1" customWidth="1"/>
    <col min="3341" max="3584" width="9.140625" style="105"/>
    <col min="3585" max="3585" width="6.28515625" style="105" customWidth="1"/>
    <col min="3586" max="3586" width="6.5703125" style="105" bestFit="1" customWidth="1"/>
    <col min="3587" max="3587" width="9" style="105" customWidth="1"/>
    <col min="3588" max="3588" width="9.28515625" style="105" customWidth="1"/>
    <col min="3589" max="3589" width="8.5703125" style="105" customWidth="1"/>
    <col min="3590" max="3590" width="11.140625" style="105" customWidth="1"/>
    <col min="3591" max="3591" width="8" style="105" bestFit="1" customWidth="1"/>
    <col min="3592" max="3592" width="5.28515625" style="105" customWidth="1"/>
    <col min="3593" max="3593" width="8" style="105" bestFit="1" customWidth="1"/>
    <col min="3594" max="3594" width="8.42578125" style="105" customWidth="1"/>
    <col min="3595" max="3595" width="20.140625" style="105" customWidth="1"/>
    <col min="3596" max="3596" width="5.7109375" style="105" bestFit="1" customWidth="1"/>
    <col min="3597" max="3840" width="9.140625" style="105"/>
    <col min="3841" max="3841" width="6.28515625" style="105" customWidth="1"/>
    <col min="3842" max="3842" width="6.5703125" style="105" bestFit="1" customWidth="1"/>
    <col min="3843" max="3843" width="9" style="105" customWidth="1"/>
    <col min="3844" max="3844" width="9.28515625" style="105" customWidth="1"/>
    <col min="3845" max="3845" width="8.5703125" style="105" customWidth="1"/>
    <col min="3846" max="3846" width="11.140625" style="105" customWidth="1"/>
    <col min="3847" max="3847" width="8" style="105" bestFit="1" customWidth="1"/>
    <col min="3848" max="3848" width="5.28515625" style="105" customWidth="1"/>
    <col min="3849" max="3849" width="8" style="105" bestFit="1" customWidth="1"/>
    <col min="3850" max="3850" width="8.42578125" style="105" customWidth="1"/>
    <col min="3851" max="3851" width="20.140625" style="105" customWidth="1"/>
    <col min="3852" max="3852" width="5.7109375" style="105" bestFit="1" customWidth="1"/>
    <col min="3853" max="4096" width="9.140625" style="105"/>
    <col min="4097" max="4097" width="6.28515625" style="105" customWidth="1"/>
    <col min="4098" max="4098" width="6.5703125" style="105" bestFit="1" customWidth="1"/>
    <col min="4099" max="4099" width="9" style="105" customWidth="1"/>
    <col min="4100" max="4100" width="9.28515625" style="105" customWidth="1"/>
    <col min="4101" max="4101" width="8.5703125" style="105" customWidth="1"/>
    <col min="4102" max="4102" width="11.140625" style="105" customWidth="1"/>
    <col min="4103" max="4103" width="8" style="105" bestFit="1" customWidth="1"/>
    <col min="4104" max="4104" width="5.28515625" style="105" customWidth="1"/>
    <col min="4105" max="4105" width="8" style="105" bestFit="1" customWidth="1"/>
    <col min="4106" max="4106" width="8.42578125" style="105" customWidth="1"/>
    <col min="4107" max="4107" width="20.140625" style="105" customWidth="1"/>
    <col min="4108" max="4108" width="5.7109375" style="105" bestFit="1" customWidth="1"/>
    <col min="4109" max="4352" width="9.140625" style="105"/>
    <col min="4353" max="4353" width="6.28515625" style="105" customWidth="1"/>
    <col min="4354" max="4354" width="6.5703125" style="105" bestFit="1" customWidth="1"/>
    <col min="4355" max="4355" width="9" style="105" customWidth="1"/>
    <col min="4356" max="4356" width="9.28515625" style="105" customWidth="1"/>
    <col min="4357" max="4357" width="8.5703125" style="105" customWidth="1"/>
    <col min="4358" max="4358" width="11.140625" style="105" customWidth="1"/>
    <col min="4359" max="4359" width="8" style="105" bestFit="1" customWidth="1"/>
    <col min="4360" max="4360" width="5.28515625" style="105" customWidth="1"/>
    <col min="4361" max="4361" width="8" style="105" bestFit="1" customWidth="1"/>
    <col min="4362" max="4362" width="8.42578125" style="105" customWidth="1"/>
    <col min="4363" max="4363" width="20.140625" style="105" customWidth="1"/>
    <col min="4364" max="4364" width="5.7109375" style="105" bestFit="1" customWidth="1"/>
    <col min="4365" max="4608" width="9.140625" style="105"/>
    <col min="4609" max="4609" width="6.28515625" style="105" customWidth="1"/>
    <col min="4610" max="4610" width="6.5703125" style="105" bestFit="1" customWidth="1"/>
    <col min="4611" max="4611" width="9" style="105" customWidth="1"/>
    <col min="4612" max="4612" width="9.28515625" style="105" customWidth="1"/>
    <col min="4613" max="4613" width="8.5703125" style="105" customWidth="1"/>
    <col min="4614" max="4614" width="11.140625" style="105" customWidth="1"/>
    <col min="4615" max="4615" width="8" style="105" bestFit="1" customWidth="1"/>
    <col min="4616" max="4616" width="5.28515625" style="105" customWidth="1"/>
    <col min="4617" max="4617" width="8" style="105" bestFit="1" customWidth="1"/>
    <col min="4618" max="4618" width="8.42578125" style="105" customWidth="1"/>
    <col min="4619" max="4619" width="20.140625" style="105" customWidth="1"/>
    <col min="4620" max="4620" width="5.7109375" style="105" bestFit="1" customWidth="1"/>
    <col min="4621" max="4864" width="9.140625" style="105"/>
    <col min="4865" max="4865" width="6.28515625" style="105" customWidth="1"/>
    <col min="4866" max="4866" width="6.5703125" style="105" bestFit="1" customWidth="1"/>
    <col min="4867" max="4867" width="9" style="105" customWidth="1"/>
    <col min="4868" max="4868" width="9.28515625" style="105" customWidth="1"/>
    <col min="4869" max="4869" width="8.5703125" style="105" customWidth="1"/>
    <col min="4870" max="4870" width="11.140625" style="105" customWidth="1"/>
    <col min="4871" max="4871" width="8" style="105" bestFit="1" customWidth="1"/>
    <col min="4872" max="4872" width="5.28515625" style="105" customWidth="1"/>
    <col min="4873" max="4873" width="8" style="105" bestFit="1" customWidth="1"/>
    <col min="4874" max="4874" width="8.42578125" style="105" customWidth="1"/>
    <col min="4875" max="4875" width="20.140625" style="105" customWidth="1"/>
    <col min="4876" max="4876" width="5.7109375" style="105" bestFit="1" customWidth="1"/>
    <col min="4877" max="5120" width="9.140625" style="105"/>
    <col min="5121" max="5121" width="6.28515625" style="105" customWidth="1"/>
    <col min="5122" max="5122" width="6.5703125" style="105" bestFit="1" customWidth="1"/>
    <col min="5123" max="5123" width="9" style="105" customWidth="1"/>
    <col min="5124" max="5124" width="9.28515625" style="105" customWidth="1"/>
    <col min="5125" max="5125" width="8.5703125" style="105" customWidth="1"/>
    <col min="5126" max="5126" width="11.140625" style="105" customWidth="1"/>
    <col min="5127" max="5127" width="8" style="105" bestFit="1" customWidth="1"/>
    <col min="5128" max="5128" width="5.28515625" style="105" customWidth="1"/>
    <col min="5129" max="5129" width="8" style="105" bestFit="1" customWidth="1"/>
    <col min="5130" max="5130" width="8.42578125" style="105" customWidth="1"/>
    <col min="5131" max="5131" width="20.140625" style="105" customWidth="1"/>
    <col min="5132" max="5132" width="5.7109375" style="105" bestFit="1" customWidth="1"/>
    <col min="5133" max="5376" width="9.140625" style="105"/>
    <col min="5377" max="5377" width="6.28515625" style="105" customWidth="1"/>
    <col min="5378" max="5378" width="6.5703125" style="105" bestFit="1" customWidth="1"/>
    <col min="5379" max="5379" width="9" style="105" customWidth="1"/>
    <col min="5380" max="5380" width="9.28515625" style="105" customWidth="1"/>
    <col min="5381" max="5381" width="8.5703125" style="105" customWidth="1"/>
    <col min="5382" max="5382" width="11.140625" style="105" customWidth="1"/>
    <col min="5383" max="5383" width="8" style="105" bestFit="1" customWidth="1"/>
    <col min="5384" max="5384" width="5.28515625" style="105" customWidth="1"/>
    <col min="5385" max="5385" width="8" style="105" bestFit="1" customWidth="1"/>
    <col min="5386" max="5386" width="8.42578125" style="105" customWidth="1"/>
    <col min="5387" max="5387" width="20.140625" style="105" customWidth="1"/>
    <col min="5388" max="5388" width="5.7109375" style="105" bestFit="1" customWidth="1"/>
    <col min="5389" max="5632" width="9.140625" style="105"/>
    <col min="5633" max="5633" width="6.28515625" style="105" customWidth="1"/>
    <col min="5634" max="5634" width="6.5703125" style="105" bestFit="1" customWidth="1"/>
    <col min="5635" max="5635" width="9" style="105" customWidth="1"/>
    <col min="5636" max="5636" width="9.28515625" style="105" customWidth="1"/>
    <col min="5637" max="5637" width="8.5703125" style="105" customWidth="1"/>
    <col min="5638" max="5638" width="11.140625" style="105" customWidth="1"/>
    <col min="5639" max="5639" width="8" style="105" bestFit="1" customWidth="1"/>
    <col min="5640" max="5640" width="5.28515625" style="105" customWidth="1"/>
    <col min="5641" max="5641" width="8" style="105" bestFit="1" customWidth="1"/>
    <col min="5642" max="5642" width="8.42578125" style="105" customWidth="1"/>
    <col min="5643" max="5643" width="20.140625" style="105" customWidth="1"/>
    <col min="5644" max="5644" width="5.7109375" style="105" bestFit="1" customWidth="1"/>
    <col min="5645" max="5888" width="9.140625" style="105"/>
    <col min="5889" max="5889" width="6.28515625" style="105" customWidth="1"/>
    <col min="5890" max="5890" width="6.5703125" style="105" bestFit="1" customWidth="1"/>
    <col min="5891" max="5891" width="9" style="105" customWidth="1"/>
    <col min="5892" max="5892" width="9.28515625" style="105" customWidth="1"/>
    <col min="5893" max="5893" width="8.5703125" style="105" customWidth="1"/>
    <col min="5894" max="5894" width="11.140625" style="105" customWidth="1"/>
    <col min="5895" max="5895" width="8" style="105" bestFit="1" customWidth="1"/>
    <col min="5896" max="5896" width="5.28515625" style="105" customWidth="1"/>
    <col min="5897" max="5897" width="8" style="105" bestFit="1" customWidth="1"/>
    <col min="5898" max="5898" width="8.42578125" style="105" customWidth="1"/>
    <col min="5899" max="5899" width="20.140625" style="105" customWidth="1"/>
    <col min="5900" max="5900" width="5.7109375" style="105" bestFit="1" customWidth="1"/>
    <col min="5901" max="6144" width="9.140625" style="105"/>
    <col min="6145" max="6145" width="6.28515625" style="105" customWidth="1"/>
    <col min="6146" max="6146" width="6.5703125" style="105" bestFit="1" customWidth="1"/>
    <col min="6147" max="6147" width="9" style="105" customWidth="1"/>
    <col min="6148" max="6148" width="9.28515625" style="105" customWidth="1"/>
    <col min="6149" max="6149" width="8.5703125" style="105" customWidth="1"/>
    <col min="6150" max="6150" width="11.140625" style="105" customWidth="1"/>
    <col min="6151" max="6151" width="8" style="105" bestFit="1" customWidth="1"/>
    <col min="6152" max="6152" width="5.28515625" style="105" customWidth="1"/>
    <col min="6153" max="6153" width="8" style="105" bestFit="1" customWidth="1"/>
    <col min="6154" max="6154" width="8.42578125" style="105" customWidth="1"/>
    <col min="6155" max="6155" width="20.140625" style="105" customWidth="1"/>
    <col min="6156" max="6156" width="5.7109375" style="105" bestFit="1" customWidth="1"/>
    <col min="6157" max="6400" width="9.140625" style="105"/>
    <col min="6401" max="6401" width="6.28515625" style="105" customWidth="1"/>
    <col min="6402" max="6402" width="6.5703125" style="105" bestFit="1" customWidth="1"/>
    <col min="6403" max="6403" width="9" style="105" customWidth="1"/>
    <col min="6404" max="6404" width="9.28515625" style="105" customWidth="1"/>
    <col min="6405" max="6405" width="8.5703125" style="105" customWidth="1"/>
    <col min="6406" max="6406" width="11.140625" style="105" customWidth="1"/>
    <col min="6407" max="6407" width="8" style="105" bestFit="1" customWidth="1"/>
    <col min="6408" max="6408" width="5.28515625" style="105" customWidth="1"/>
    <col min="6409" max="6409" width="8" style="105" bestFit="1" customWidth="1"/>
    <col min="6410" max="6410" width="8.42578125" style="105" customWidth="1"/>
    <col min="6411" max="6411" width="20.140625" style="105" customWidth="1"/>
    <col min="6412" max="6412" width="5.7109375" style="105" bestFit="1" customWidth="1"/>
    <col min="6413" max="6656" width="9.140625" style="105"/>
    <col min="6657" max="6657" width="6.28515625" style="105" customWidth="1"/>
    <col min="6658" max="6658" width="6.5703125" style="105" bestFit="1" customWidth="1"/>
    <col min="6659" max="6659" width="9" style="105" customWidth="1"/>
    <col min="6660" max="6660" width="9.28515625" style="105" customWidth="1"/>
    <col min="6661" max="6661" width="8.5703125" style="105" customWidth="1"/>
    <col min="6662" max="6662" width="11.140625" style="105" customWidth="1"/>
    <col min="6663" max="6663" width="8" style="105" bestFit="1" customWidth="1"/>
    <col min="6664" max="6664" width="5.28515625" style="105" customWidth="1"/>
    <col min="6665" max="6665" width="8" style="105" bestFit="1" customWidth="1"/>
    <col min="6666" max="6666" width="8.42578125" style="105" customWidth="1"/>
    <col min="6667" max="6667" width="20.140625" style="105" customWidth="1"/>
    <col min="6668" max="6668" width="5.7109375" style="105" bestFit="1" customWidth="1"/>
    <col min="6669" max="6912" width="9.140625" style="105"/>
    <col min="6913" max="6913" width="6.28515625" style="105" customWidth="1"/>
    <col min="6914" max="6914" width="6.5703125" style="105" bestFit="1" customWidth="1"/>
    <col min="6915" max="6915" width="9" style="105" customWidth="1"/>
    <col min="6916" max="6916" width="9.28515625" style="105" customWidth="1"/>
    <col min="6917" max="6917" width="8.5703125" style="105" customWidth="1"/>
    <col min="6918" max="6918" width="11.140625" style="105" customWidth="1"/>
    <col min="6919" max="6919" width="8" style="105" bestFit="1" customWidth="1"/>
    <col min="6920" max="6920" width="5.28515625" style="105" customWidth="1"/>
    <col min="6921" max="6921" width="8" style="105" bestFit="1" customWidth="1"/>
    <col min="6922" max="6922" width="8.42578125" style="105" customWidth="1"/>
    <col min="6923" max="6923" width="20.140625" style="105" customWidth="1"/>
    <col min="6924" max="6924" width="5.7109375" style="105" bestFit="1" customWidth="1"/>
    <col min="6925" max="7168" width="9.140625" style="105"/>
    <col min="7169" max="7169" width="6.28515625" style="105" customWidth="1"/>
    <col min="7170" max="7170" width="6.5703125" style="105" bestFit="1" customWidth="1"/>
    <col min="7171" max="7171" width="9" style="105" customWidth="1"/>
    <col min="7172" max="7172" width="9.28515625" style="105" customWidth="1"/>
    <col min="7173" max="7173" width="8.5703125" style="105" customWidth="1"/>
    <col min="7174" max="7174" width="11.140625" style="105" customWidth="1"/>
    <col min="7175" max="7175" width="8" style="105" bestFit="1" customWidth="1"/>
    <col min="7176" max="7176" width="5.28515625" style="105" customWidth="1"/>
    <col min="7177" max="7177" width="8" style="105" bestFit="1" customWidth="1"/>
    <col min="7178" max="7178" width="8.42578125" style="105" customWidth="1"/>
    <col min="7179" max="7179" width="20.140625" style="105" customWidth="1"/>
    <col min="7180" max="7180" width="5.7109375" style="105" bestFit="1" customWidth="1"/>
    <col min="7181" max="7424" width="9.140625" style="105"/>
    <col min="7425" max="7425" width="6.28515625" style="105" customWidth="1"/>
    <col min="7426" max="7426" width="6.5703125" style="105" bestFit="1" customWidth="1"/>
    <col min="7427" max="7427" width="9" style="105" customWidth="1"/>
    <col min="7428" max="7428" width="9.28515625" style="105" customWidth="1"/>
    <col min="7429" max="7429" width="8.5703125" style="105" customWidth="1"/>
    <col min="7430" max="7430" width="11.140625" style="105" customWidth="1"/>
    <col min="7431" max="7431" width="8" style="105" bestFit="1" customWidth="1"/>
    <col min="7432" max="7432" width="5.28515625" style="105" customWidth="1"/>
    <col min="7433" max="7433" width="8" style="105" bestFit="1" customWidth="1"/>
    <col min="7434" max="7434" width="8.42578125" style="105" customWidth="1"/>
    <col min="7435" max="7435" width="20.140625" style="105" customWidth="1"/>
    <col min="7436" max="7436" width="5.7109375" style="105" bestFit="1" customWidth="1"/>
    <col min="7437" max="7680" width="9.140625" style="105"/>
    <col min="7681" max="7681" width="6.28515625" style="105" customWidth="1"/>
    <col min="7682" max="7682" width="6.5703125" style="105" bestFit="1" customWidth="1"/>
    <col min="7683" max="7683" width="9" style="105" customWidth="1"/>
    <col min="7684" max="7684" width="9.28515625" style="105" customWidth="1"/>
    <col min="7685" max="7685" width="8.5703125" style="105" customWidth="1"/>
    <col min="7686" max="7686" width="11.140625" style="105" customWidth="1"/>
    <col min="7687" max="7687" width="8" style="105" bestFit="1" customWidth="1"/>
    <col min="7688" max="7688" width="5.28515625" style="105" customWidth="1"/>
    <col min="7689" max="7689" width="8" style="105" bestFit="1" customWidth="1"/>
    <col min="7690" max="7690" width="8.42578125" style="105" customWidth="1"/>
    <col min="7691" max="7691" width="20.140625" style="105" customWidth="1"/>
    <col min="7692" max="7692" width="5.7109375" style="105" bestFit="1" customWidth="1"/>
    <col min="7693" max="7936" width="9.140625" style="105"/>
    <col min="7937" max="7937" width="6.28515625" style="105" customWidth="1"/>
    <col min="7938" max="7938" width="6.5703125" style="105" bestFit="1" customWidth="1"/>
    <col min="7939" max="7939" width="9" style="105" customWidth="1"/>
    <col min="7940" max="7940" width="9.28515625" style="105" customWidth="1"/>
    <col min="7941" max="7941" width="8.5703125" style="105" customWidth="1"/>
    <col min="7942" max="7942" width="11.140625" style="105" customWidth="1"/>
    <col min="7943" max="7943" width="8" style="105" bestFit="1" customWidth="1"/>
    <col min="7944" max="7944" width="5.28515625" style="105" customWidth="1"/>
    <col min="7945" max="7945" width="8" style="105" bestFit="1" customWidth="1"/>
    <col min="7946" max="7946" width="8.42578125" style="105" customWidth="1"/>
    <col min="7947" max="7947" width="20.140625" style="105" customWidth="1"/>
    <col min="7948" max="7948" width="5.7109375" style="105" bestFit="1" customWidth="1"/>
    <col min="7949" max="8192" width="9.140625" style="105"/>
    <col min="8193" max="8193" width="6.28515625" style="105" customWidth="1"/>
    <col min="8194" max="8194" width="6.5703125" style="105" bestFit="1" customWidth="1"/>
    <col min="8195" max="8195" width="9" style="105" customWidth="1"/>
    <col min="8196" max="8196" width="9.28515625" style="105" customWidth="1"/>
    <col min="8197" max="8197" width="8.5703125" style="105" customWidth="1"/>
    <col min="8198" max="8198" width="11.140625" style="105" customWidth="1"/>
    <col min="8199" max="8199" width="8" style="105" bestFit="1" customWidth="1"/>
    <col min="8200" max="8200" width="5.28515625" style="105" customWidth="1"/>
    <col min="8201" max="8201" width="8" style="105" bestFit="1" customWidth="1"/>
    <col min="8202" max="8202" width="8.42578125" style="105" customWidth="1"/>
    <col min="8203" max="8203" width="20.140625" style="105" customWidth="1"/>
    <col min="8204" max="8204" width="5.7109375" style="105" bestFit="1" customWidth="1"/>
    <col min="8205" max="8448" width="9.140625" style="105"/>
    <col min="8449" max="8449" width="6.28515625" style="105" customWidth="1"/>
    <col min="8450" max="8450" width="6.5703125" style="105" bestFit="1" customWidth="1"/>
    <col min="8451" max="8451" width="9" style="105" customWidth="1"/>
    <col min="8452" max="8452" width="9.28515625" style="105" customWidth="1"/>
    <col min="8453" max="8453" width="8.5703125" style="105" customWidth="1"/>
    <col min="8454" max="8454" width="11.140625" style="105" customWidth="1"/>
    <col min="8455" max="8455" width="8" style="105" bestFit="1" customWidth="1"/>
    <col min="8456" max="8456" width="5.28515625" style="105" customWidth="1"/>
    <col min="8457" max="8457" width="8" style="105" bestFit="1" customWidth="1"/>
    <col min="8458" max="8458" width="8.42578125" style="105" customWidth="1"/>
    <col min="8459" max="8459" width="20.140625" style="105" customWidth="1"/>
    <col min="8460" max="8460" width="5.7109375" style="105" bestFit="1" customWidth="1"/>
    <col min="8461" max="8704" width="9.140625" style="105"/>
    <col min="8705" max="8705" width="6.28515625" style="105" customWidth="1"/>
    <col min="8706" max="8706" width="6.5703125" style="105" bestFit="1" customWidth="1"/>
    <col min="8707" max="8707" width="9" style="105" customWidth="1"/>
    <col min="8708" max="8708" width="9.28515625" style="105" customWidth="1"/>
    <col min="8709" max="8709" width="8.5703125" style="105" customWidth="1"/>
    <col min="8710" max="8710" width="11.140625" style="105" customWidth="1"/>
    <col min="8711" max="8711" width="8" style="105" bestFit="1" customWidth="1"/>
    <col min="8712" max="8712" width="5.28515625" style="105" customWidth="1"/>
    <col min="8713" max="8713" width="8" style="105" bestFit="1" customWidth="1"/>
    <col min="8714" max="8714" width="8.42578125" style="105" customWidth="1"/>
    <col min="8715" max="8715" width="20.140625" style="105" customWidth="1"/>
    <col min="8716" max="8716" width="5.7109375" style="105" bestFit="1" customWidth="1"/>
    <col min="8717" max="8960" width="9.140625" style="105"/>
    <col min="8961" max="8961" width="6.28515625" style="105" customWidth="1"/>
    <col min="8962" max="8962" width="6.5703125" style="105" bestFit="1" customWidth="1"/>
    <col min="8963" max="8963" width="9" style="105" customWidth="1"/>
    <col min="8964" max="8964" width="9.28515625" style="105" customWidth="1"/>
    <col min="8965" max="8965" width="8.5703125" style="105" customWidth="1"/>
    <col min="8966" max="8966" width="11.140625" style="105" customWidth="1"/>
    <col min="8967" max="8967" width="8" style="105" bestFit="1" customWidth="1"/>
    <col min="8968" max="8968" width="5.28515625" style="105" customWidth="1"/>
    <col min="8969" max="8969" width="8" style="105" bestFit="1" customWidth="1"/>
    <col min="8970" max="8970" width="8.42578125" style="105" customWidth="1"/>
    <col min="8971" max="8971" width="20.140625" style="105" customWidth="1"/>
    <col min="8972" max="8972" width="5.7109375" style="105" bestFit="1" customWidth="1"/>
    <col min="8973" max="9216" width="9.140625" style="105"/>
    <col min="9217" max="9217" width="6.28515625" style="105" customWidth="1"/>
    <col min="9218" max="9218" width="6.5703125" style="105" bestFit="1" customWidth="1"/>
    <col min="9219" max="9219" width="9" style="105" customWidth="1"/>
    <col min="9220" max="9220" width="9.28515625" style="105" customWidth="1"/>
    <col min="9221" max="9221" width="8.5703125" style="105" customWidth="1"/>
    <col min="9222" max="9222" width="11.140625" style="105" customWidth="1"/>
    <col min="9223" max="9223" width="8" style="105" bestFit="1" customWidth="1"/>
    <col min="9224" max="9224" width="5.28515625" style="105" customWidth="1"/>
    <col min="9225" max="9225" width="8" style="105" bestFit="1" customWidth="1"/>
    <col min="9226" max="9226" width="8.42578125" style="105" customWidth="1"/>
    <col min="9227" max="9227" width="20.140625" style="105" customWidth="1"/>
    <col min="9228" max="9228" width="5.7109375" style="105" bestFit="1" customWidth="1"/>
    <col min="9229" max="9472" width="9.140625" style="105"/>
    <col min="9473" max="9473" width="6.28515625" style="105" customWidth="1"/>
    <col min="9474" max="9474" width="6.5703125" style="105" bestFit="1" customWidth="1"/>
    <col min="9475" max="9475" width="9" style="105" customWidth="1"/>
    <col min="9476" max="9476" width="9.28515625" style="105" customWidth="1"/>
    <col min="9477" max="9477" width="8.5703125" style="105" customWidth="1"/>
    <col min="9478" max="9478" width="11.140625" style="105" customWidth="1"/>
    <col min="9479" max="9479" width="8" style="105" bestFit="1" customWidth="1"/>
    <col min="9480" max="9480" width="5.28515625" style="105" customWidth="1"/>
    <col min="9481" max="9481" width="8" style="105" bestFit="1" customWidth="1"/>
    <col min="9482" max="9482" width="8.42578125" style="105" customWidth="1"/>
    <col min="9483" max="9483" width="20.140625" style="105" customWidth="1"/>
    <col min="9484" max="9484" width="5.7109375" style="105" bestFit="1" customWidth="1"/>
    <col min="9485" max="9728" width="9.140625" style="105"/>
    <col min="9729" max="9729" width="6.28515625" style="105" customWidth="1"/>
    <col min="9730" max="9730" width="6.5703125" style="105" bestFit="1" customWidth="1"/>
    <col min="9731" max="9731" width="9" style="105" customWidth="1"/>
    <col min="9732" max="9732" width="9.28515625" style="105" customWidth="1"/>
    <col min="9733" max="9733" width="8.5703125" style="105" customWidth="1"/>
    <col min="9734" max="9734" width="11.140625" style="105" customWidth="1"/>
    <col min="9735" max="9735" width="8" style="105" bestFit="1" customWidth="1"/>
    <col min="9736" max="9736" width="5.28515625" style="105" customWidth="1"/>
    <col min="9737" max="9737" width="8" style="105" bestFit="1" customWidth="1"/>
    <col min="9738" max="9738" width="8.42578125" style="105" customWidth="1"/>
    <col min="9739" max="9739" width="20.140625" style="105" customWidth="1"/>
    <col min="9740" max="9740" width="5.7109375" style="105" bestFit="1" customWidth="1"/>
    <col min="9741" max="9984" width="9.140625" style="105"/>
    <col min="9985" max="9985" width="6.28515625" style="105" customWidth="1"/>
    <col min="9986" max="9986" width="6.5703125" style="105" bestFit="1" customWidth="1"/>
    <col min="9987" max="9987" width="9" style="105" customWidth="1"/>
    <col min="9988" max="9988" width="9.28515625" style="105" customWidth="1"/>
    <col min="9989" max="9989" width="8.5703125" style="105" customWidth="1"/>
    <col min="9990" max="9990" width="11.140625" style="105" customWidth="1"/>
    <col min="9991" max="9991" width="8" style="105" bestFit="1" customWidth="1"/>
    <col min="9992" max="9992" width="5.28515625" style="105" customWidth="1"/>
    <col min="9993" max="9993" width="8" style="105" bestFit="1" customWidth="1"/>
    <col min="9994" max="9994" width="8.42578125" style="105" customWidth="1"/>
    <col min="9995" max="9995" width="20.140625" style="105" customWidth="1"/>
    <col min="9996" max="9996" width="5.7109375" style="105" bestFit="1" customWidth="1"/>
    <col min="9997" max="10240" width="9.140625" style="105"/>
    <col min="10241" max="10241" width="6.28515625" style="105" customWidth="1"/>
    <col min="10242" max="10242" width="6.5703125" style="105" bestFit="1" customWidth="1"/>
    <col min="10243" max="10243" width="9" style="105" customWidth="1"/>
    <col min="10244" max="10244" width="9.28515625" style="105" customWidth="1"/>
    <col min="10245" max="10245" width="8.5703125" style="105" customWidth="1"/>
    <col min="10246" max="10246" width="11.140625" style="105" customWidth="1"/>
    <col min="10247" max="10247" width="8" style="105" bestFit="1" customWidth="1"/>
    <col min="10248" max="10248" width="5.28515625" style="105" customWidth="1"/>
    <col min="10249" max="10249" width="8" style="105" bestFit="1" customWidth="1"/>
    <col min="10250" max="10250" width="8.42578125" style="105" customWidth="1"/>
    <col min="10251" max="10251" width="20.140625" style="105" customWidth="1"/>
    <col min="10252" max="10252" width="5.7109375" style="105" bestFit="1" customWidth="1"/>
    <col min="10253" max="10496" width="9.140625" style="105"/>
    <col min="10497" max="10497" width="6.28515625" style="105" customWidth="1"/>
    <col min="10498" max="10498" width="6.5703125" style="105" bestFit="1" customWidth="1"/>
    <col min="10499" max="10499" width="9" style="105" customWidth="1"/>
    <col min="10500" max="10500" width="9.28515625" style="105" customWidth="1"/>
    <col min="10501" max="10501" width="8.5703125" style="105" customWidth="1"/>
    <col min="10502" max="10502" width="11.140625" style="105" customWidth="1"/>
    <col min="10503" max="10503" width="8" style="105" bestFit="1" customWidth="1"/>
    <col min="10504" max="10504" width="5.28515625" style="105" customWidth="1"/>
    <col min="10505" max="10505" width="8" style="105" bestFit="1" customWidth="1"/>
    <col min="10506" max="10506" width="8.42578125" style="105" customWidth="1"/>
    <col min="10507" max="10507" width="20.140625" style="105" customWidth="1"/>
    <col min="10508" max="10508" width="5.7109375" style="105" bestFit="1" customWidth="1"/>
    <col min="10509" max="10752" width="9.140625" style="105"/>
    <col min="10753" max="10753" width="6.28515625" style="105" customWidth="1"/>
    <col min="10754" max="10754" width="6.5703125" style="105" bestFit="1" customWidth="1"/>
    <col min="10755" max="10755" width="9" style="105" customWidth="1"/>
    <col min="10756" max="10756" width="9.28515625" style="105" customWidth="1"/>
    <col min="10757" max="10757" width="8.5703125" style="105" customWidth="1"/>
    <col min="10758" max="10758" width="11.140625" style="105" customWidth="1"/>
    <col min="10759" max="10759" width="8" style="105" bestFit="1" customWidth="1"/>
    <col min="10760" max="10760" width="5.28515625" style="105" customWidth="1"/>
    <col min="10761" max="10761" width="8" style="105" bestFit="1" customWidth="1"/>
    <col min="10762" max="10762" width="8.42578125" style="105" customWidth="1"/>
    <col min="10763" max="10763" width="20.140625" style="105" customWidth="1"/>
    <col min="10764" max="10764" width="5.7109375" style="105" bestFit="1" customWidth="1"/>
    <col min="10765" max="11008" width="9.140625" style="105"/>
    <col min="11009" max="11009" width="6.28515625" style="105" customWidth="1"/>
    <col min="11010" max="11010" width="6.5703125" style="105" bestFit="1" customWidth="1"/>
    <col min="11011" max="11011" width="9" style="105" customWidth="1"/>
    <col min="11012" max="11012" width="9.28515625" style="105" customWidth="1"/>
    <col min="11013" max="11013" width="8.5703125" style="105" customWidth="1"/>
    <col min="11014" max="11014" width="11.140625" style="105" customWidth="1"/>
    <col min="11015" max="11015" width="8" style="105" bestFit="1" customWidth="1"/>
    <col min="11016" max="11016" width="5.28515625" style="105" customWidth="1"/>
    <col min="11017" max="11017" width="8" style="105" bestFit="1" customWidth="1"/>
    <col min="11018" max="11018" width="8.42578125" style="105" customWidth="1"/>
    <col min="11019" max="11019" width="20.140625" style="105" customWidth="1"/>
    <col min="11020" max="11020" width="5.7109375" style="105" bestFit="1" customWidth="1"/>
    <col min="11021" max="11264" width="9.140625" style="105"/>
    <col min="11265" max="11265" width="6.28515625" style="105" customWidth="1"/>
    <col min="11266" max="11266" width="6.5703125" style="105" bestFit="1" customWidth="1"/>
    <col min="11267" max="11267" width="9" style="105" customWidth="1"/>
    <col min="11268" max="11268" width="9.28515625" style="105" customWidth="1"/>
    <col min="11269" max="11269" width="8.5703125" style="105" customWidth="1"/>
    <col min="11270" max="11270" width="11.140625" style="105" customWidth="1"/>
    <col min="11271" max="11271" width="8" style="105" bestFit="1" customWidth="1"/>
    <col min="11272" max="11272" width="5.28515625" style="105" customWidth="1"/>
    <col min="11273" max="11273" width="8" style="105" bestFit="1" customWidth="1"/>
    <col min="11274" max="11274" width="8.42578125" style="105" customWidth="1"/>
    <col min="11275" max="11275" width="20.140625" style="105" customWidth="1"/>
    <col min="11276" max="11276" width="5.7109375" style="105" bestFit="1" customWidth="1"/>
    <col min="11277" max="11520" width="9.140625" style="105"/>
    <col min="11521" max="11521" width="6.28515625" style="105" customWidth="1"/>
    <col min="11522" max="11522" width="6.5703125" style="105" bestFit="1" customWidth="1"/>
    <col min="11523" max="11523" width="9" style="105" customWidth="1"/>
    <col min="11524" max="11524" width="9.28515625" style="105" customWidth="1"/>
    <col min="11525" max="11525" width="8.5703125" style="105" customWidth="1"/>
    <col min="11526" max="11526" width="11.140625" style="105" customWidth="1"/>
    <col min="11527" max="11527" width="8" style="105" bestFit="1" customWidth="1"/>
    <col min="11528" max="11528" width="5.28515625" style="105" customWidth="1"/>
    <col min="11529" max="11529" width="8" style="105" bestFit="1" customWidth="1"/>
    <col min="11530" max="11530" width="8.42578125" style="105" customWidth="1"/>
    <col min="11531" max="11531" width="20.140625" style="105" customWidth="1"/>
    <col min="11532" max="11532" width="5.7109375" style="105" bestFit="1" customWidth="1"/>
    <col min="11533" max="11776" width="9.140625" style="105"/>
    <col min="11777" max="11777" width="6.28515625" style="105" customWidth="1"/>
    <col min="11778" max="11778" width="6.5703125" style="105" bestFit="1" customWidth="1"/>
    <col min="11779" max="11779" width="9" style="105" customWidth="1"/>
    <col min="11780" max="11780" width="9.28515625" style="105" customWidth="1"/>
    <col min="11781" max="11781" width="8.5703125" style="105" customWidth="1"/>
    <col min="11782" max="11782" width="11.140625" style="105" customWidth="1"/>
    <col min="11783" max="11783" width="8" style="105" bestFit="1" customWidth="1"/>
    <col min="11784" max="11784" width="5.28515625" style="105" customWidth="1"/>
    <col min="11785" max="11785" width="8" style="105" bestFit="1" customWidth="1"/>
    <col min="11786" max="11786" width="8.42578125" style="105" customWidth="1"/>
    <col min="11787" max="11787" width="20.140625" style="105" customWidth="1"/>
    <col min="11788" max="11788" width="5.7109375" style="105" bestFit="1" customWidth="1"/>
    <col min="11789" max="12032" width="9.140625" style="105"/>
    <col min="12033" max="12033" width="6.28515625" style="105" customWidth="1"/>
    <col min="12034" max="12034" width="6.5703125" style="105" bestFit="1" customWidth="1"/>
    <col min="12035" max="12035" width="9" style="105" customWidth="1"/>
    <col min="12036" max="12036" width="9.28515625" style="105" customWidth="1"/>
    <col min="12037" max="12037" width="8.5703125" style="105" customWidth="1"/>
    <col min="12038" max="12038" width="11.140625" style="105" customWidth="1"/>
    <col min="12039" max="12039" width="8" style="105" bestFit="1" customWidth="1"/>
    <col min="12040" max="12040" width="5.28515625" style="105" customWidth="1"/>
    <col min="12041" max="12041" width="8" style="105" bestFit="1" customWidth="1"/>
    <col min="12042" max="12042" width="8.42578125" style="105" customWidth="1"/>
    <col min="12043" max="12043" width="20.140625" style="105" customWidth="1"/>
    <col min="12044" max="12044" width="5.7109375" style="105" bestFit="1" customWidth="1"/>
    <col min="12045" max="12288" width="9.140625" style="105"/>
    <col min="12289" max="12289" width="6.28515625" style="105" customWidth="1"/>
    <col min="12290" max="12290" width="6.5703125" style="105" bestFit="1" customWidth="1"/>
    <col min="12291" max="12291" width="9" style="105" customWidth="1"/>
    <col min="12292" max="12292" width="9.28515625" style="105" customWidth="1"/>
    <col min="12293" max="12293" width="8.5703125" style="105" customWidth="1"/>
    <col min="12294" max="12294" width="11.140625" style="105" customWidth="1"/>
    <col min="12295" max="12295" width="8" style="105" bestFit="1" customWidth="1"/>
    <col min="12296" max="12296" width="5.28515625" style="105" customWidth="1"/>
    <col min="12297" max="12297" width="8" style="105" bestFit="1" customWidth="1"/>
    <col min="12298" max="12298" width="8.42578125" style="105" customWidth="1"/>
    <col min="12299" max="12299" width="20.140625" style="105" customWidth="1"/>
    <col min="12300" max="12300" width="5.7109375" style="105" bestFit="1" customWidth="1"/>
    <col min="12301" max="12544" width="9.140625" style="105"/>
    <col min="12545" max="12545" width="6.28515625" style="105" customWidth="1"/>
    <col min="12546" max="12546" width="6.5703125" style="105" bestFit="1" customWidth="1"/>
    <col min="12547" max="12547" width="9" style="105" customWidth="1"/>
    <col min="12548" max="12548" width="9.28515625" style="105" customWidth="1"/>
    <col min="12549" max="12549" width="8.5703125" style="105" customWidth="1"/>
    <col min="12550" max="12550" width="11.140625" style="105" customWidth="1"/>
    <col min="12551" max="12551" width="8" style="105" bestFit="1" customWidth="1"/>
    <col min="12552" max="12552" width="5.28515625" style="105" customWidth="1"/>
    <col min="12553" max="12553" width="8" style="105" bestFit="1" customWidth="1"/>
    <col min="12554" max="12554" width="8.42578125" style="105" customWidth="1"/>
    <col min="12555" max="12555" width="20.140625" style="105" customWidth="1"/>
    <col min="12556" max="12556" width="5.7109375" style="105" bestFit="1" customWidth="1"/>
    <col min="12557" max="12800" width="9.140625" style="105"/>
    <col min="12801" max="12801" width="6.28515625" style="105" customWidth="1"/>
    <col min="12802" max="12802" width="6.5703125" style="105" bestFit="1" customWidth="1"/>
    <col min="12803" max="12803" width="9" style="105" customWidth="1"/>
    <col min="12804" max="12804" width="9.28515625" style="105" customWidth="1"/>
    <col min="12805" max="12805" width="8.5703125" style="105" customWidth="1"/>
    <col min="12806" max="12806" width="11.140625" style="105" customWidth="1"/>
    <col min="12807" max="12807" width="8" style="105" bestFit="1" customWidth="1"/>
    <col min="12808" max="12808" width="5.28515625" style="105" customWidth="1"/>
    <col min="12809" max="12809" width="8" style="105" bestFit="1" customWidth="1"/>
    <col min="12810" max="12810" width="8.42578125" style="105" customWidth="1"/>
    <col min="12811" max="12811" width="20.140625" style="105" customWidth="1"/>
    <col min="12812" max="12812" width="5.7109375" style="105" bestFit="1" customWidth="1"/>
    <col min="12813" max="13056" width="9.140625" style="105"/>
    <col min="13057" max="13057" width="6.28515625" style="105" customWidth="1"/>
    <col min="13058" max="13058" width="6.5703125" style="105" bestFit="1" customWidth="1"/>
    <col min="13059" max="13059" width="9" style="105" customWidth="1"/>
    <col min="13060" max="13060" width="9.28515625" style="105" customWidth="1"/>
    <col min="13061" max="13061" width="8.5703125" style="105" customWidth="1"/>
    <col min="13062" max="13062" width="11.140625" style="105" customWidth="1"/>
    <col min="13063" max="13063" width="8" style="105" bestFit="1" customWidth="1"/>
    <col min="13064" max="13064" width="5.28515625" style="105" customWidth="1"/>
    <col min="13065" max="13065" width="8" style="105" bestFit="1" customWidth="1"/>
    <col min="13066" max="13066" width="8.42578125" style="105" customWidth="1"/>
    <col min="13067" max="13067" width="20.140625" style="105" customWidth="1"/>
    <col min="13068" max="13068" width="5.7109375" style="105" bestFit="1" customWidth="1"/>
    <col min="13069" max="13312" width="9.140625" style="105"/>
    <col min="13313" max="13313" width="6.28515625" style="105" customWidth="1"/>
    <col min="13314" max="13314" width="6.5703125" style="105" bestFit="1" customWidth="1"/>
    <col min="13315" max="13315" width="9" style="105" customWidth="1"/>
    <col min="13316" max="13316" width="9.28515625" style="105" customWidth="1"/>
    <col min="13317" max="13317" width="8.5703125" style="105" customWidth="1"/>
    <col min="13318" max="13318" width="11.140625" style="105" customWidth="1"/>
    <col min="13319" max="13319" width="8" style="105" bestFit="1" customWidth="1"/>
    <col min="13320" max="13320" width="5.28515625" style="105" customWidth="1"/>
    <col min="13321" max="13321" width="8" style="105" bestFit="1" customWidth="1"/>
    <col min="13322" max="13322" width="8.42578125" style="105" customWidth="1"/>
    <col min="13323" max="13323" width="20.140625" style="105" customWidth="1"/>
    <col min="13324" max="13324" width="5.7109375" style="105" bestFit="1" customWidth="1"/>
    <col min="13325" max="13568" width="9.140625" style="105"/>
    <col min="13569" max="13569" width="6.28515625" style="105" customWidth="1"/>
    <col min="13570" max="13570" width="6.5703125" style="105" bestFit="1" customWidth="1"/>
    <col min="13571" max="13571" width="9" style="105" customWidth="1"/>
    <col min="13572" max="13572" width="9.28515625" style="105" customWidth="1"/>
    <col min="13573" max="13573" width="8.5703125" style="105" customWidth="1"/>
    <col min="13574" max="13574" width="11.140625" style="105" customWidth="1"/>
    <col min="13575" max="13575" width="8" style="105" bestFit="1" customWidth="1"/>
    <col min="13576" max="13576" width="5.28515625" style="105" customWidth="1"/>
    <col min="13577" max="13577" width="8" style="105" bestFit="1" customWidth="1"/>
    <col min="13578" max="13578" width="8.42578125" style="105" customWidth="1"/>
    <col min="13579" max="13579" width="20.140625" style="105" customWidth="1"/>
    <col min="13580" max="13580" width="5.7109375" style="105" bestFit="1" customWidth="1"/>
    <col min="13581" max="13824" width="9.140625" style="105"/>
    <col min="13825" max="13825" width="6.28515625" style="105" customWidth="1"/>
    <col min="13826" max="13826" width="6.5703125" style="105" bestFit="1" customWidth="1"/>
    <col min="13827" max="13827" width="9" style="105" customWidth="1"/>
    <col min="13828" max="13828" width="9.28515625" style="105" customWidth="1"/>
    <col min="13829" max="13829" width="8.5703125" style="105" customWidth="1"/>
    <col min="13830" max="13830" width="11.140625" style="105" customWidth="1"/>
    <col min="13831" max="13831" width="8" style="105" bestFit="1" customWidth="1"/>
    <col min="13832" max="13832" width="5.28515625" style="105" customWidth="1"/>
    <col min="13833" max="13833" width="8" style="105" bestFit="1" customWidth="1"/>
    <col min="13834" max="13834" width="8.42578125" style="105" customWidth="1"/>
    <col min="13835" max="13835" width="20.140625" style="105" customWidth="1"/>
    <col min="13836" max="13836" width="5.7109375" style="105" bestFit="1" customWidth="1"/>
    <col min="13837" max="14080" width="9.140625" style="105"/>
    <col min="14081" max="14081" width="6.28515625" style="105" customWidth="1"/>
    <col min="14082" max="14082" width="6.5703125" style="105" bestFit="1" customWidth="1"/>
    <col min="14083" max="14083" width="9" style="105" customWidth="1"/>
    <col min="14084" max="14084" width="9.28515625" style="105" customWidth="1"/>
    <col min="14085" max="14085" width="8.5703125" style="105" customWidth="1"/>
    <col min="14086" max="14086" width="11.140625" style="105" customWidth="1"/>
    <col min="14087" max="14087" width="8" style="105" bestFit="1" customWidth="1"/>
    <col min="14088" max="14088" width="5.28515625" style="105" customWidth="1"/>
    <col min="14089" max="14089" width="8" style="105" bestFit="1" customWidth="1"/>
    <col min="14090" max="14090" width="8.42578125" style="105" customWidth="1"/>
    <col min="14091" max="14091" width="20.140625" style="105" customWidth="1"/>
    <col min="14092" max="14092" width="5.7109375" style="105" bestFit="1" customWidth="1"/>
    <col min="14093" max="14336" width="9.140625" style="105"/>
    <col min="14337" max="14337" width="6.28515625" style="105" customWidth="1"/>
    <col min="14338" max="14338" width="6.5703125" style="105" bestFit="1" customWidth="1"/>
    <col min="14339" max="14339" width="9" style="105" customWidth="1"/>
    <col min="14340" max="14340" width="9.28515625" style="105" customWidth="1"/>
    <col min="14341" max="14341" width="8.5703125" style="105" customWidth="1"/>
    <col min="14342" max="14342" width="11.140625" style="105" customWidth="1"/>
    <col min="14343" max="14343" width="8" style="105" bestFit="1" customWidth="1"/>
    <col min="14344" max="14344" width="5.28515625" style="105" customWidth="1"/>
    <col min="14345" max="14345" width="8" style="105" bestFit="1" customWidth="1"/>
    <col min="14346" max="14346" width="8.42578125" style="105" customWidth="1"/>
    <col min="14347" max="14347" width="20.140625" style="105" customWidth="1"/>
    <col min="14348" max="14348" width="5.7109375" style="105" bestFit="1" customWidth="1"/>
    <col min="14349" max="14592" width="9.140625" style="105"/>
    <col min="14593" max="14593" width="6.28515625" style="105" customWidth="1"/>
    <col min="14594" max="14594" width="6.5703125" style="105" bestFit="1" customWidth="1"/>
    <col min="14595" max="14595" width="9" style="105" customWidth="1"/>
    <col min="14596" max="14596" width="9.28515625" style="105" customWidth="1"/>
    <col min="14597" max="14597" width="8.5703125" style="105" customWidth="1"/>
    <col min="14598" max="14598" width="11.140625" style="105" customWidth="1"/>
    <col min="14599" max="14599" width="8" style="105" bestFit="1" customWidth="1"/>
    <col min="14600" max="14600" width="5.28515625" style="105" customWidth="1"/>
    <col min="14601" max="14601" width="8" style="105" bestFit="1" customWidth="1"/>
    <col min="14602" max="14602" width="8.42578125" style="105" customWidth="1"/>
    <col min="14603" max="14603" width="20.140625" style="105" customWidth="1"/>
    <col min="14604" max="14604" width="5.7109375" style="105" bestFit="1" customWidth="1"/>
    <col min="14605" max="14848" width="9.140625" style="105"/>
    <col min="14849" max="14849" width="6.28515625" style="105" customWidth="1"/>
    <col min="14850" max="14850" width="6.5703125" style="105" bestFit="1" customWidth="1"/>
    <col min="14851" max="14851" width="9" style="105" customWidth="1"/>
    <col min="14852" max="14852" width="9.28515625" style="105" customWidth="1"/>
    <col min="14853" max="14853" width="8.5703125" style="105" customWidth="1"/>
    <col min="14854" max="14854" width="11.140625" style="105" customWidth="1"/>
    <col min="14855" max="14855" width="8" style="105" bestFit="1" customWidth="1"/>
    <col min="14856" max="14856" width="5.28515625" style="105" customWidth="1"/>
    <col min="14857" max="14857" width="8" style="105" bestFit="1" customWidth="1"/>
    <col min="14858" max="14858" width="8.42578125" style="105" customWidth="1"/>
    <col min="14859" max="14859" width="20.140625" style="105" customWidth="1"/>
    <col min="14860" max="14860" width="5.7109375" style="105" bestFit="1" customWidth="1"/>
    <col min="14861" max="15104" width="9.140625" style="105"/>
    <col min="15105" max="15105" width="6.28515625" style="105" customWidth="1"/>
    <col min="15106" max="15106" width="6.5703125" style="105" bestFit="1" customWidth="1"/>
    <col min="15107" max="15107" width="9" style="105" customWidth="1"/>
    <col min="15108" max="15108" width="9.28515625" style="105" customWidth="1"/>
    <col min="15109" max="15109" width="8.5703125" style="105" customWidth="1"/>
    <col min="15110" max="15110" width="11.140625" style="105" customWidth="1"/>
    <col min="15111" max="15111" width="8" style="105" bestFit="1" customWidth="1"/>
    <col min="15112" max="15112" width="5.28515625" style="105" customWidth="1"/>
    <col min="15113" max="15113" width="8" style="105" bestFit="1" customWidth="1"/>
    <col min="15114" max="15114" width="8.42578125" style="105" customWidth="1"/>
    <col min="15115" max="15115" width="20.140625" style="105" customWidth="1"/>
    <col min="15116" max="15116" width="5.7109375" style="105" bestFit="1" customWidth="1"/>
    <col min="15117" max="15360" width="9.140625" style="105"/>
    <col min="15361" max="15361" width="6.28515625" style="105" customWidth="1"/>
    <col min="15362" max="15362" width="6.5703125" style="105" bestFit="1" customWidth="1"/>
    <col min="15363" max="15363" width="9" style="105" customWidth="1"/>
    <col min="15364" max="15364" width="9.28515625" style="105" customWidth="1"/>
    <col min="15365" max="15365" width="8.5703125" style="105" customWidth="1"/>
    <col min="15366" max="15366" width="11.140625" style="105" customWidth="1"/>
    <col min="15367" max="15367" width="8" style="105" bestFit="1" customWidth="1"/>
    <col min="15368" max="15368" width="5.28515625" style="105" customWidth="1"/>
    <col min="15369" max="15369" width="8" style="105" bestFit="1" customWidth="1"/>
    <col min="15370" max="15370" width="8.42578125" style="105" customWidth="1"/>
    <col min="15371" max="15371" width="20.140625" style="105" customWidth="1"/>
    <col min="15372" max="15372" width="5.7109375" style="105" bestFit="1" customWidth="1"/>
    <col min="15373" max="15616" width="9.140625" style="105"/>
    <col min="15617" max="15617" width="6.28515625" style="105" customWidth="1"/>
    <col min="15618" max="15618" width="6.5703125" style="105" bestFit="1" customWidth="1"/>
    <col min="15619" max="15619" width="9" style="105" customWidth="1"/>
    <col min="15620" max="15620" width="9.28515625" style="105" customWidth="1"/>
    <col min="15621" max="15621" width="8.5703125" style="105" customWidth="1"/>
    <col min="15622" max="15622" width="11.140625" style="105" customWidth="1"/>
    <col min="15623" max="15623" width="8" style="105" bestFit="1" customWidth="1"/>
    <col min="15624" max="15624" width="5.28515625" style="105" customWidth="1"/>
    <col min="15625" max="15625" width="8" style="105" bestFit="1" customWidth="1"/>
    <col min="15626" max="15626" width="8.42578125" style="105" customWidth="1"/>
    <col min="15627" max="15627" width="20.140625" style="105" customWidth="1"/>
    <col min="15628" max="15628" width="5.7109375" style="105" bestFit="1" customWidth="1"/>
    <col min="15629" max="15872" width="9.140625" style="105"/>
    <col min="15873" max="15873" width="6.28515625" style="105" customWidth="1"/>
    <col min="15874" max="15874" width="6.5703125" style="105" bestFit="1" customWidth="1"/>
    <col min="15875" max="15875" width="9" style="105" customWidth="1"/>
    <col min="15876" max="15876" width="9.28515625" style="105" customWidth="1"/>
    <col min="15877" max="15877" width="8.5703125" style="105" customWidth="1"/>
    <col min="15878" max="15878" width="11.140625" style="105" customWidth="1"/>
    <col min="15879" max="15879" width="8" style="105" bestFit="1" customWidth="1"/>
    <col min="15880" max="15880" width="5.28515625" style="105" customWidth="1"/>
    <col min="15881" max="15881" width="8" style="105" bestFit="1" customWidth="1"/>
    <col min="15882" max="15882" width="8.42578125" style="105" customWidth="1"/>
    <col min="15883" max="15883" width="20.140625" style="105" customWidth="1"/>
    <col min="15884" max="15884" width="5.7109375" style="105" bestFit="1" customWidth="1"/>
    <col min="15885" max="16128" width="9.140625" style="105"/>
    <col min="16129" max="16129" width="6.28515625" style="105" customWidth="1"/>
    <col min="16130" max="16130" width="6.5703125" style="105" bestFit="1" customWidth="1"/>
    <col min="16131" max="16131" width="9" style="105" customWidth="1"/>
    <col min="16132" max="16132" width="9.28515625" style="105" customWidth="1"/>
    <col min="16133" max="16133" width="8.5703125" style="105" customWidth="1"/>
    <col min="16134" max="16134" width="11.140625" style="105" customWidth="1"/>
    <col min="16135" max="16135" width="8" style="105" bestFit="1" customWidth="1"/>
    <col min="16136" max="16136" width="5.28515625" style="105" customWidth="1"/>
    <col min="16137" max="16137" width="8" style="105" bestFit="1" customWidth="1"/>
    <col min="16138" max="16138" width="8.42578125" style="105" customWidth="1"/>
    <col min="16139" max="16139" width="20.140625" style="105" customWidth="1"/>
    <col min="16140" max="16140" width="5.7109375" style="105" bestFit="1" customWidth="1"/>
    <col min="16141" max="16384" width="9.140625" style="105"/>
  </cols>
  <sheetData>
    <row r="1" spans="1:226" ht="3" customHeight="1" thickBot="1"/>
    <row r="2" spans="1:226" ht="25.5" customHeight="1">
      <c r="A2" s="106"/>
      <c r="B2" s="107"/>
      <c r="C2" s="596" t="s">
        <v>210</v>
      </c>
      <c r="D2" s="596"/>
      <c r="E2" s="596"/>
      <c r="F2" s="596"/>
      <c r="G2" s="596"/>
      <c r="H2" s="596"/>
      <c r="I2" s="596"/>
      <c r="J2" s="596"/>
      <c r="K2" s="597"/>
    </row>
    <row r="3" spans="1:226" ht="25.5" customHeight="1" thickBot="1">
      <c r="A3" s="108"/>
      <c r="B3" s="109"/>
      <c r="C3" s="598" t="s">
        <v>211</v>
      </c>
      <c r="D3" s="598"/>
      <c r="E3" s="598"/>
      <c r="F3" s="598"/>
      <c r="G3" s="598"/>
      <c r="H3" s="598"/>
      <c r="I3" s="598"/>
      <c r="J3" s="598"/>
      <c r="K3" s="599"/>
    </row>
    <row r="4" spans="1:226" ht="4.5" customHeight="1" thickBot="1">
      <c r="A4" s="110"/>
      <c r="B4" s="111"/>
      <c r="C4" s="111"/>
      <c r="D4" s="111"/>
      <c r="E4" s="111"/>
      <c r="F4" s="112"/>
      <c r="G4" s="112"/>
      <c r="H4" s="112"/>
      <c r="I4" s="112"/>
      <c r="J4" s="112"/>
      <c r="K4" s="112"/>
    </row>
    <row r="5" spans="1:226" s="114" customFormat="1" ht="12.75" customHeight="1">
      <c r="A5" s="600" t="s">
        <v>295</v>
      </c>
      <c r="B5" s="601"/>
      <c r="C5" s="601"/>
      <c r="D5" s="601"/>
      <c r="E5" s="602" t="s">
        <v>126</v>
      </c>
      <c r="F5" s="603"/>
      <c r="G5" s="604"/>
      <c r="H5" s="603" t="s">
        <v>189</v>
      </c>
      <c r="I5" s="603"/>
      <c r="J5" s="603"/>
      <c r="K5" s="605"/>
      <c r="L5" s="113"/>
      <c r="M5" s="113"/>
      <c r="N5" s="113"/>
    </row>
    <row r="6" spans="1:226" s="114" customFormat="1" ht="12.75" customHeight="1" thickBot="1">
      <c r="A6" s="584" t="s">
        <v>296</v>
      </c>
      <c r="B6" s="585"/>
      <c r="C6" s="585"/>
      <c r="D6" s="585"/>
      <c r="E6" s="586" t="s">
        <v>127</v>
      </c>
      <c r="F6" s="587"/>
      <c r="G6" s="588"/>
      <c r="H6" s="589" t="e">
        <f>#REF!</f>
        <v>#REF!</v>
      </c>
      <c r="I6" s="589"/>
      <c r="J6" s="589"/>
      <c r="K6" s="115" t="s">
        <v>54</v>
      </c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3"/>
      <c r="BZ6" s="113"/>
      <c r="CA6" s="113"/>
      <c r="CB6" s="113"/>
      <c r="CC6" s="113"/>
      <c r="CD6" s="113"/>
      <c r="CE6" s="113"/>
      <c r="CF6" s="113"/>
      <c r="CG6" s="113"/>
      <c r="CH6" s="113"/>
      <c r="CI6" s="113"/>
      <c r="CJ6" s="113"/>
      <c r="CK6" s="113"/>
      <c r="CL6" s="113"/>
      <c r="CM6" s="113"/>
      <c r="CN6" s="113"/>
      <c r="CO6" s="113"/>
      <c r="CP6" s="113"/>
      <c r="CQ6" s="113"/>
      <c r="CR6" s="113"/>
      <c r="CS6" s="113"/>
      <c r="CT6" s="113"/>
      <c r="CU6" s="113"/>
      <c r="CV6" s="113"/>
      <c r="CW6" s="113"/>
      <c r="CX6" s="113"/>
      <c r="CY6" s="113"/>
      <c r="CZ6" s="113"/>
      <c r="DA6" s="113"/>
      <c r="DB6" s="113"/>
      <c r="DC6" s="113"/>
      <c r="DD6" s="113"/>
      <c r="DE6" s="113"/>
      <c r="DF6" s="113"/>
      <c r="DG6" s="113"/>
      <c r="DH6" s="113"/>
      <c r="DI6" s="113"/>
      <c r="DJ6" s="113"/>
      <c r="DK6" s="113"/>
      <c r="DL6" s="113"/>
      <c r="DM6" s="113"/>
      <c r="DN6" s="113"/>
      <c r="DO6" s="113"/>
      <c r="DP6" s="113"/>
      <c r="DQ6" s="113"/>
      <c r="DR6" s="113"/>
      <c r="DS6" s="113"/>
      <c r="DT6" s="113"/>
      <c r="DU6" s="113"/>
      <c r="DV6" s="113"/>
      <c r="DW6" s="113"/>
      <c r="DX6" s="113"/>
      <c r="DY6" s="113"/>
      <c r="DZ6" s="113"/>
      <c r="EA6" s="113"/>
      <c r="EB6" s="113"/>
      <c r="EC6" s="113"/>
      <c r="ED6" s="113"/>
      <c r="EE6" s="113"/>
      <c r="EF6" s="113"/>
      <c r="EG6" s="113"/>
      <c r="EH6" s="113"/>
      <c r="EI6" s="113"/>
      <c r="EJ6" s="113"/>
      <c r="EK6" s="113"/>
      <c r="EL6" s="113"/>
      <c r="EM6" s="113"/>
      <c r="EN6" s="113"/>
      <c r="EO6" s="113"/>
      <c r="EP6" s="113"/>
      <c r="EQ6" s="113"/>
      <c r="ER6" s="113"/>
      <c r="ES6" s="113"/>
      <c r="ET6" s="113"/>
      <c r="EU6" s="113"/>
      <c r="EV6" s="113"/>
      <c r="EW6" s="113"/>
      <c r="EX6" s="113"/>
      <c r="EY6" s="113"/>
      <c r="EZ6" s="113"/>
      <c r="FA6" s="113"/>
      <c r="FB6" s="113"/>
      <c r="FC6" s="113"/>
      <c r="FD6" s="113"/>
      <c r="FE6" s="113"/>
      <c r="FF6" s="113"/>
      <c r="FG6" s="113"/>
      <c r="FH6" s="113"/>
      <c r="FI6" s="113"/>
      <c r="FJ6" s="113"/>
      <c r="FK6" s="113"/>
      <c r="FL6" s="113"/>
      <c r="FM6" s="113"/>
      <c r="FN6" s="113"/>
      <c r="FO6" s="113"/>
      <c r="FP6" s="113"/>
      <c r="FQ6" s="113"/>
      <c r="FR6" s="113"/>
      <c r="FS6" s="113"/>
      <c r="FT6" s="113"/>
      <c r="FU6" s="113"/>
      <c r="FV6" s="113"/>
      <c r="FW6" s="113"/>
      <c r="FX6" s="113"/>
      <c r="FY6" s="113"/>
      <c r="FZ6" s="113"/>
      <c r="GA6" s="113"/>
      <c r="GB6" s="113"/>
      <c r="GC6" s="113"/>
      <c r="GD6" s="113"/>
      <c r="GE6" s="113"/>
      <c r="GF6" s="113"/>
      <c r="GG6" s="113"/>
      <c r="GH6" s="113"/>
      <c r="GI6" s="113"/>
      <c r="GJ6" s="113"/>
      <c r="GK6" s="113"/>
      <c r="GL6" s="113"/>
      <c r="GM6" s="113"/>
      <c r="GN6" s="113"/>
      <c r="GO6" s="113"/>
      <c r="GP6" s="113"/>
      <c r="GQ6" s="113"/>
      <c r="GR6" s="113"/>
      <c r="GS6" s="113"/>
      <c r="GT6" s="113"/>
      <c r="GU6" s="113"/>
      <c r="GV6" s="113"/>
      <c r="GW6" s="113"/>
      <c r="GX6" s="113"/>
      <c r="GY6" s="113"/>
      <c r="GZ6" s="113"/>
      <c r="HA6" s="113"/>
      <c r="HB6" s="113"/>
      <c r="HC6" s="113"/>
      <c r="HD6" s="113"/>
      <c r="HE6" s="113"/>
      <c r="HF6" s="113"/>
      <c r="HG6" s="113"/>
      <c r="HH6" s="113"/>
      <c r="HI6" s="113"/>
      <c r="HJ6" s="113"/>
      <c r="HK6" s="113"/>
      <c r="HL6" s="113"/>
      <c r="HM6" s="113"/>
      <c r="HN6" s="113"/>
      <c r="HO6" s="113"/>
      <c r="HP6" s="113"/>
      <c r="HQ6" s="113"/>
      <c r="HR6" s="113"/>
    </row>
    <row r="7" spans="1:226" s="117" customFormat="1" ht="4.5" customHeight="1" thickBot="1">
      <c r="A7" s="110"/>
      <c r="B7" s="111"/>
      <c r="C7" s="111"/>
      <c r="D7" s="111"/>
      <c r="E7" s="111"/>
      <c r="F7" s="112"/>
      <c r="G7" s="112"/>
      <c r="H7" s="112"/>
      <c r="I7" s="112"/>
      <c r="J7" s="112"/>
      <c r="K7" s="112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  <c r="BM7" s="116"/>
      <c r="BN7" s="116"/>
      <c r="BO7" s="116"/>
      <c r="BP7" s="116"/>
      <c r="BQ7" s="116"/>
      <c r="BR7" s="116"/>
      <c r="BS7" s="116"/>
      <c r="BT7" s="116"/>
      <c r="BU7" s="116"/>
      <c r="BV7" s="116"/>
      <c r="BW7" s="116"/>
      <c r="BX7" s="116"/>
      <c r="BY7" s="116"/>
      <c r="BZ7" s="116"/>
      <c r="CA7" s="116"/>
      <c r="CB7" s="116"/>
      <c r="CC7" s="116"/>
      <c r="CD7" s="116"/>
      <c r="CE7" s="116"/>
      <c r="CF7" s="116"/>
      <c r="CG7" s="116"/>
      <c r="CH7" s="116"/>
      <c r="CI7" s="116"/>
      <c r="CJ7" s="116"/>
      <c r="CK7" s="116"/>
      <c r="CL7" s="116"/>
      <c r="CM7" s="116"/>
      <c r="CN7" s="116"/>
      <c r="CO7" s="116"/>
      <c r="CP7" s="116"/>
      <c r="CQ7" s="116"/>
      <c r="CR7" s="116"/>
      <c r="CS7" s="116"/>
      <c r="CT7" s="116"/>
      <c r="CU7" s="116"/>
      <c r="CV7" s="116"/>
      <c r="CW7" s="116"/>
      <c r="CX7" s="116"/>
      <c r="CY7" s="116"/>
      <c r="CZ7" s="116"/>
      <c r="DA7" s="116"/>
      <c r="DB7" s="116"/>
      <c r="DC7" s="116"/>
      <c r="DD7" s="116"/>
      <c r="DE7" s="116"/>
      <c r="DF7" s="116"/>
      <c r="DG7" s="116"/>
      <c r="DH7" s="116"/>
      <c r="DI7" s="116"/>
      <c r="DJ7" s="116"/>
      <c r="DK7" s="116"/>
      <c r="DL7" s="116"/>
      <c r="DM7" s="116"/>
      <c r="DN7" s="116"/>
      <c r="DO7" s="116"/>
      <c r="DP7" s="116"/>
      <c r="DQ7" s="116"/>
      <c r="DR7" s="116"/>
      <c r="DS7" s="116"/>
      <c r="DT7" s="116"/>
      <c r="DU7" s="116"/>
      <c r="DV7" s="116"/>
      <c r="DW7" s="116"/>
      <c r="DX7" s="116"/>
      <c r="DY7" s="116"/>
      <c r="DZ7" s="116"/>
      <c r="EA7" s="116"/>
      <c r="EB7" s="116"/>
      <c r="EC7" s="116"/>
      <c r="ED7" s="116"/>
      <c r="EE7" s="116"/>
      <c r="EF7" s="116"/>
      <c r="EG7" s="116"/>
      <c r="EH7" s="116"/>
      <c r="EI7" s="116"/>
      <c r="EJ7" s="116"/>
      <c r="EK7" s="116"/>
      <c r="EL7" s="116"/>
      <c r="EM7" s="116"/>
      <c r="EN7" s="116"/>
      <c r="EO7" s="116"/>
      <c r="EP7" s="116"/>
      <c r="EQ7" s="116"/>
      <c r="ER7" s="116"/>
      <c r="ES7" s="116"/>
      <c r="ET7" s="116"/>
      <c r="EU7" s="116"/>
      <c r="EV7" s="116"/>
      <c r="EW7" s="116"/>
      <c r="EX7" s="116"/>
      <c r="EY7" s="116"/>
      <c r="EZ7" s="116"/>
      <c r="FA7" s="116"/>
      <c r="FB7" s="116"/>
      <c r="FC7" s="116"/>
      <c r="FD7" s="116"/>
      <c r="FE7" s="116"/>
      <c r="FF7" s="116"/>
      <c r="FG7" s="116"/>
      <c r="FH7" s="116"/>
      <c r="FI7" s="116"/>
      <c r="FJ7" s="116"/>
      <c r="FK7" s="116"/>
      <c r="FL7" s="116"/>
      <c r="FM7" s="116"/>
      <c r="FN7" s="116"/>
      <c r="FO7" s="116"/>
      <c r="FP7" s="116"/>
      <c r="FQ7" s="116"/>
      <c r="FR7" s="116"/>
      <c r="FS7" s="116"/>
      <c r="FT7" s="116"/>
      <c r="FU7" s="116"/>
      <c r="FV7" s="116"/>
      <c r="FW7" s="116"/>
      <c r="FX7" s="116"/>
      <c r="FY7" s="116"/>
      <c r="FZ7" s="116"/>
      <c r="GA7" s="116"/>
      <c r="GB7" s="116"/>
      <c r="GC7" s="116"/>
      <c r="GD7" s="116"/>
      <c r="GE7" s="116"/>
      <c r="GF7" s="116"/>
      <c r="GG7" s="116"/>
      <c r="GH7" s="116"/>
      <c r="GI7" s="116"/>
      <c r="GJ7" s="116"/>
      <c r="GK7" s="116"/>
      <c r="GL7" s="116"/>
      <c r="GM7" s="116"/>
      <c r="GN7" s="116"/>
      <c r="GO7" s="116"/>
      <c r="GP7" s="116"/>
      <c r="GQ7" s="116"/>
      <c r="GR7" s="116"/>
      <c r="GS7" s="116"/>
      <c r="GT7" s="116"/>
      <c r="GU7" s="116"/>
      <c r="GV7" s="116"/>
      <c r="GW7" s="116"/>
      <c r="GX7" s="116"/>
      <c r="GY7" s="116"/>
      <c r="GZ7" s="116"/>
      <c r="HA7" s="116"/>
      <c r="HB7" s="116"/>
      <c r="HC7" s="116"/>
      <c r="HD7" s="116"/>
      <c r="HE7" s="116"/>
      <c r="HF7" s="116"/>
      <c r="HG7" s="116"/>
      <c r="HH7" s="116"/>
      <c r="HI7" s="116"/>
      <c r="HJ7" s="116"/>
      <c r="HK7" s="116"/>
      <c r="HL7" s="116"/>
      <c r="HM7" s="116"/>
      <c r="HN7" s="116"/>
      <c r="HO7" s="116"/>
      <c r="HP7" s="116"/>
      <c r="HQ7" s="116"/>
      <c r="HR7" s="116"/>
    </row>
    <row r="8" spans="1:226" s="118" customFormat="1" ht="13.5" customHeight="1">
      <c r="A8" s="590" t="s">
        <v>190</v>
      </c>
      <c r="B8" s="591"/>
      <c r="C8" s="591"/>
      <c r="D8" s="591"/>
      <c r="E8" s="591"/>
      <c r="F8" s="591"/>
      <c r="G8" s="591"/>
      <c r="H8" s="591"/>
      <c r="I8" s="591"/>
      <c r="J8" s="591"/>
      <c r="K8" s="592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  <c r="BM8" s="116"/>
      <c r="BN8" s="116"/>
      <c r="BO8" s="116"/>
      <c r="BP8" s="116"/>
      <c r="BQ8" s="116"/>
      <c r="BR8" s="116"/>
      <c r="BS8" s="116"/>
      <c r="BT8" s="116"/>
      <c r="BU8" s="116"/>
      <c r="BV8" s="116"/>
      <c r="BW8" s="116"/>
      <c r="BX8" s="116"/>
      <c r="BY8" s="116"/>
      <c r="BZ8" s="116"/>
      <c r="CA8" s="116"/>
      <c r="CB8" s="116"/>
      <c r="CC8" s="116"/>
      <c r="CD8" s="116"/>
      <c r="CE8" s="116"/>
      <c r="CF8" s="116"/>
      <c r="CG8" s="116"/>
      <c r="CH8" s="116"/>
      <c r="CI8" s="116"/>
      <c r="CJ8" s="116"/>
      <c r="CK8" s="116"/>
      <c r="CL8" s="116"/>
      <c r="CM8" s="116"/>
      <c r="CN8" s="116"/>
      <c r="CO8" s="116"/>
      <c r="CP8" s="116"/>
      <c r="CQ8" s="116"/>
      <c r="CR8" s="116"/>
      <c r="CS8" s="116"/>
      <c r="CT8" s="116"/>
      <c r="CU8" s="116"/>
      <c r="CV8" s="116"/>
      <c r="CW8" s="116"/>
      <c r="CX8" s="116"/>
      <c r="CY8" s="116"/>
      <c r="CZ8" s="116"/>
      <c r="DA8" s="116"/>
      <c r="DB8" s="116"/>
      <c r="DC8" s="116"/>
      <c r="DD8" s="116"/>
      <c r="DE8" s="116"/>
      <c r="DF8" s="116"/>
      <c r="DG8" s="116"/>
      <c r="DH8" s="116"/>
      <c r="DI8" s="116"/>
      <c r="DJ8" s="116"/>
      <c r="DK8" s="116"/>
      <c r="DL8" s="116"/>
      <c r="DM8" s="116"/>
      <c r="DN8" s="116"/>
      <c r="DO8" s="116"/>
      <c r="DP8" s="116"/>
      <c r="DQ8" s="116"/>
      <c r="DR8" s="116"/>
      <c r="DS8" s="116"/>
      <c r="DT8" s="116"/>
      <c r="DU8" s="116"/>
      <c r="DV8" s="116"/>
      <c r="DW8" s="116"/>
      <c r="DX8" s="116"/>
      <c r="DY8" s="116"/>
      <c r="DZ8" s="116"/>
      <c r="EA8" s="116"/>
      <c r="EB8" s="116"/>
      <c r="EC8" s="116"/>
      <c r="ED8" s="116"/>
      <c r="EE8" s="116"/>
      <c r="EF8" s="116"/>
      <c r="EG8" s="116"/>
      <c r="EH8" s="116"/>
      <c r="EI8" s="116"/>
      <c r="EJ8" s="116"/>
      <c r="EK8" s="116"/>
      <c r="EL8" s="116"/>
      <c r="EM8" s="116"/>
      <c r="EN8" s="116"/>
      <c r="EO8" s="116"/>
      <c r="EP8" s="116"/>
      <c r="EQ8" s="116"/>
      <c r="ER8" s="116"/>
      <c r="ES8" s="116"/>
      <c r="ET8" s="116"/>
      <c r="EU8" s="116"/>
      <c r="EV8" s="116"/>
      <c r="EW8" s="116"/>
      <c r="EX8" s="116"/>
      <c r="EY8" s="116"/>
      <c r="EZ8" s="116"/>
      <c r="FA8" s="116"/>
      <c r="FB8" s="116"/>
      <c r="FC8" s="116"/>
      <c r="FD8" s="116"/>
      <c r="FE8" s="116"/>
      <c r="FF8" s="116"/>
      <c r="FG8" s="116"/>
      <c r="FH8" s="116"/>
      <c r="FI8" s="116"/>
      <c r="FJ8" s="116"/>
      <c r="FK8" s="116"/>
      <c r="FL8" s="116"/>
      <c r="FM8" s="116"/>
      <c r="FN8" s="116"/>
      <c r="FO8" s="116"/>
      <c r="FP8" s="116"/>
      <c r="FQ8" s="116"/>
      <c r="FR8" s="116"/>
      <c r="FS8" s="116"/>
      <c r="FT8" s="116"/>
      <c r="FU8" s="116"/>
      <c r="FV8" s="116"/>
      <c r="FW8" s="116"/>
      <c r="FX8" s="116"/>
      <c r="FY8" s="116"/>
      <c r="FZ8" s="116"/>
      <c r="GA8" s="116"/>
      <c r="GB8" s="116"/>
      <c r="GC8" s="116"/>
      <c r="GD8" s="116"/>
      <c r="GE8" s="116"/>
      <c r="GF8" s="116"/>
      <c r="GG8" s="116"/>
      <c r="GH8" s="116"/>
      <c r="GI8" s="116"/>
      <c r="GJ8" s="116"/>
      <c r="GK8" s="116"/>
      <c r="GL8" s="116"/>
      <c r="GM8" s="116"/>
      <c r="GN8" s="116"/>
      <c r="GO8" s="116"/>
      <c r="GP8" s="116"/>
      <c r="GQ8" s="116"/>
      <c r="GR8" s="116"/>
      <c r="GS8" s="116"/>
      <c r="GT8" s="116"/>
      <c r="GU8" s="116"/>
      <c r="GV8" s="116"/>
      <c r="GW8" s="116"/>
      <c r="GX8" s="116"/>
      <c r="GY8" s="116"/>
      <c r="GZ8" s="116"/>
      <c r="HA8" s="116"/>
      <c r="HB8" s="116"/>
      <c r="HC8" s="116"/>
      <c r="HD8" s="116"/>
      <c r="HE8" s="116"/>
      <c r="HF8" s="116"/>
      <c r="HG8" s="116"/>
      <c r="HH8" s="116"/>
      <c r="HI8" s="116"/>
      <c r="HJ8" s="116"/>
      <c r="HK8" s="116"/>
      <c r="HL8" s="116"/>
      <c r="HM8" s="116"/>
      <c r="HN8" s="116"/>
      <c r="HO8" s="116"/>
      <c r="HP8" s="116"/>
      <c r="HQ8" s="116"/>
      <c r="HR8" s="116"/>
    </row>
    <row r="9" spans="1:226" ht="13.5" customHeight="1">
      <c r="A9" s="119" t="s">
        <v>191</v>
      </c>
      <c r="B9" s="120" t="s">
        <v>192</v>
      </c>
      <c r="C9" s="120" t="s">
        <v>193</v>
      </c>
      <c r="D9" s="120" t="s">
        <v>194</v>
      </c>
      <c r="E9" s="120" t="s">
        <v>195</v>
      </c>
      <c r="F9" s="120" t="s">
        <v>196</v>
      </c>
      <c r="G9" s="120" t="s">
        <v>197</v>
      </c>
      <c r="H9" s="120" t="s">
        <v>55</v>
      </c>
      <c r="I9" s="120" t="s">
        <v>198</v>
      </c>
      <c r="J9" s="120" t="s">
        <v>199</v>
      </c>
      <c r="K9" s="121" t="s">
        <v>200</v>
      </c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6"/>
      <c r="BB9" s="116"/>
      <c r="BC9" s="116"/>
      <c r="BD9" s="116"/>
      <c r="BE9" s="116"/>
      <c r="BF9" s="116"/>
      <c r="BG9" s="116"/>
      <c r="BH9" s="116"/>
      <c r="BI9" s="116"/>
      <c r="BJ9" s="116"/>
      <c r="BK9" s="116"/>
      <c r="BL9" s="116"/>
      <c r="BM9" s="116"/>
      <c r="BN9" s="116"/>
      <c r="BO9" s="116"/>
      <c r="BP9" s="116"/>
      <c r="BQ9" s="116"/>
      <c r="BR9" s="116"/>
      <c r="BS9" s="116"/>
      <c r="BT9" s="116"/>
      <c r="BU9" s="116"/>
      <c r="BV9" s="116"/>
      <c r="BW9" s="116"/>
      <c r="BX9" s="116"/>
      <c r="BY9" s="116"/>
      <c r="BZ9" s="116"/>
      <c r="CA9" s="116"/>
      <c r="CB9" s="116"/>
      <c r="CC9" s="116"/>
      <c r="CD9" s="116"/>
      <c r="CE9" s="116"/>
      <c r="CF9" s="116"/>
      <c r="CG9" s="116"/>
      <c r="CH9" s="116"/>
      <c r="CI9" s="116"/>
      <c r="CJ9" s="116"/>
      <c r="CK9" s="116"/>
      <c r="CL9" s="116"/>
      <c r="CM9" s="116"/>
      <c r="CN9" s="116"/>
      <c r="CO9" s="116"/>
      <c r="CP9" s="116"/>
      <c r="CQ9" s="116"/>
      <c r="CR9" s="116"/>
      <c r="CS9" s="116"/>
      <c r="CT9" s="116"/>
      <c r="CU9" s="116"/>
      <c r="CV9" s="116"/>
      <c r="CW9" s="116"/>
      <c r="CX9" s="116"/>
      <c r="CY9" s="116"/>
      <c r="CZ9" s="116"/>
      <c r="DA9" s="116"/>
      <c r="DB9" s="116"/>
      <c r="DC9" s="116"/>
      <c r="DD9" s="116"/>
      <c r="DE9" s="116"/>
      <c r="DF9" s="116"/>
      <c r="DG9" s="116"/>
      <c r="DH9" s="116"/>
      <c r="DI9" s="116"/>
      <c r="DJ9" s="116"/>
      <c r="DK9" s="116"/>
      <c r="DL9" s="116"/>
      <c r="DM9" s="116"/>
      <c r="DN9" s="116"/>
      <c r="DO9" s="116"/>
      <c r="DP9" s="116"/>
      <c r="DQ9" s="116"/>
      <c r="DR9" s="116"/>
      <c r="DS9" s="116"/>
      <c r="DT9" s="116"/>
      <c r="DU9" s="116"/>
      <c r="DV9" s="116"/>
      <c r="DW9" s="116"/>
      <c r="DX9" s="116"/>
      <c r="DY9" s="116"/>
      <c r="DZ9" s="116"/>
      <c r="EA9" s="116"/>
      <c r="EB9" s="116"/>
      <c r="EC9" s="116"/>
      <c r="ED9" s="116"/>
      <c r="EE9" s="116"/>
      <c r="EF9" s="116"/>
      <c r="EG9" s="116"/>
      <c r="EH9" s="116"/>
      <c r="EI9" s="116"/>
      <c r="EJ9" s="116"/>
      <c r="EK9" s="116"/>
      <c r="EL9" s="116"/>
      <c r="EM9" s="116"/>
      <c r="EN9" s="116"/>
      <c r="EO9" s="116"/>
      <c r="EP9" s="116"/>
      <c r="EQ9" s="116"/>
      <c r="ER9" s="116"/>
      <c r="ES9" s="116"/>
      <c r="ET9" s="116"/>
      <c r="EU9" s="116"/>
      <c r="EV9" s="116"/>
      <c r="EW9" s="116"/>
      <c r="EX9" s="116"/>
      <c r="EY9" s="116"/>
      <c r="EZ9" s="116"/>
      <c r="FA9" s="116"/>
      <c r="FB9" s="116"/>
      <c r="FC9" s="116"/>
      <c r="FD9" s="116"/>
      <c r="FE9" s="116"/>
      <c r="FF9" s="116"/>
      <c r="FG9" s="116"/>
      <c r="FH9" s="116"/>
      <c r="FI9" s="116"/>
      <c r="FJ9" s="116"/>
      <c r="FK9" s="116"/>
      <c r="FL9" s="116"/>
      <c r="FM9" s="116"/>
      <c r="FN9" s="116"/>
      <c r="FO9" s="116"/>
      <c r="FP9" s="116"/>
      <c r="FQ9" s="116"/>
      <c r="FR9" s="116"/>
      <c r="FS9" s="116"/>
      <c r="FT9" s="116"/>
      <c r="FU9" s="116"/>
      <c r="FV9" s="116"/>
      <c r="FW9" s="116"/>
      <c r="FX9" s="116"/>
      <c r="FY9" s="116"/>
      <c r="FZ9" s="116"/>
      <c r="GA9" s="116"/>
      <c r="GB9" s="116"/>
      <c r="GC9" s="116"/>
      <c r="GD9" s="116"/>
      <c r="GE9" s="116"/>
      <c r="GF9" s="116"/>
      <c r="GG9" s="116"/>
      <c r="GH9" s="116"/>
      <c r="GI9" s="116"/>
      <c r="GJ9" s="116"/>
      <c r="GK9" s="116"/>
      <c r="GL9" s="116"/>
      <c r="GM9" s="116"/>
      <c r="GN9" s="116"/>
      <c r="GO9" s="116"/>
      <c r="GP9" s="116"/>
      <c r="GQ9" s="116"/>
      <c r="GR9" s="116"/>
      <c r="GS9" s="116"/>
      <c r="GT9" s="116"/>
      <c r="GU9" s="116"/>
      <c r="GV9" s="116"/>
      <c r="GW9" s="116"/>
      <c r="GX9" s="116"/>
      <c r="GY9" s="116"/>
      <c r="GZ9" s="116"/>
      <c r="HA9" s="116"/>
      <c r="HB9" s="116"/>
      <c r="HC9" s="116"/>
      <c r="HD9" s="116"/>
      <c r="HE9" s="116"/>
      <c r="HF9" s="116"/>
      <c r="HG9" s="116"/>
      <c r="HH9" s="116"/>
      <c r="HI9" s="116"/>
      <c r="HJ9" s="116"/>
      <c r="HK9" s="116"/>
      <c r="HL9" s="116"/>
      <c r="HM9" s="116"/>
      <c r="HN9" s="116"/>
      <c r="HO9" s="116"/>
      <c r="HP9" s="116"/>
      <c r="HQ9" s="116"/>
      <c r="HR9" s="116"/>
    </row>
    <row r="10" spans="1:226" s="116" customFormat="1" ht="13.5" thickBot="1">
      <c r="A10" s="122">
        <v>1</v>
      </c>
      <c r="B10" s="123">
        <v>866</v>
      </c>
      <c r="C10" s="124">
        <f>BACIAS!G5</f>
        <v>0.264293</v>
      </c>
      <c r="D10" s="124">
        <v>16</v>
      </c>
      <c r="E10" s="124">
        <v>13.722</v>
      </c>
      <c r="F10" s="125">
        <f>(D10-E10)/(B10/1000)</f>
        <v>2.6304849884526567</v>
      </c>
      <c r="G10" s="126">
        <v>25</v>
      </c>
      <c r="H10" s="127">
        <f>57*(((B10/1000)^2/(F10))^0.385)</f>
        <v>35.160078728538743</v>
      </c>
      <c r="I10" s="124">
        <f>(3445.7*G10^0.138)/(H10+26)^1.012</f>
        <v>83.615642625866741</v>
      </c>
      <c r="J10" s="128">
        <v>0.25</v>
      </c>
      <c r="K10" s="129">
        <f>(J10*I10*C10)/3.6</f>
        <v>1.5346547942026527</v>
      </c>
    </row>
    <row r="11" spans="1:226" s="116" customFormat="1" ht="6" customHeight="1" thickBot="1">
      <c r="A11" s="130"/>
      <c r="B11" s="131"/>
      <c r="C11" s="131"/>
      <c r="D11" s="131"/>
      <c r="E11" s="131"/>
      <c r="F11" s="132"/>
      <c r="G11" s="133"/>
      <c r="H11" s="134"/>
      <c r="I11" s="135"/>
      <c r="J11" s="132"/>
      <c r="K11" s="136"/>
    </row>
    <row r="12" spans="1:226" s="116" customFormat="1" ht="13.5" thickBot="1">
      <c r="A12" s="593" t="s">
        <v>201</v>
      </c>
      <c r="B12" s="594"/>
      <c r="C12" s="594"/>
      <c r="D12" s="594"/>
      <c r="E12" s="594"/>
      <c r="F12" s="594"/>
      <c r="G12" s="594"/>
      <c r="H12" s="594"/>
      <c r="I12" s="594"/>
      <c r="J12" s="594"/>
      <c r="K12" s="595"/>
    </row>
    <row r="13" spans="1:226" s="116" customFormat="1" ht="12.75" customHeight="1">
      <c r="A13" s="609" t="s">
        <v>202</v>
      </c>
      <c r="B13" s="608"/>
      <c r="C13" s="608"/>
      <c r="D13" s="137" t="s">
        <v>192</v>
      </c>
      <c r="E13" s="608" t="s">
        <v>194</v>
      </c>
      <c r="F13" s="608"/>
      <c r="G13" s="608" t="s">
        <v>195</v>
      </c>
      <c r="H13" s="608"/>
      <c r="I13" s="608" t="s">
        <v>203</v>
      </c>
      <c r="J13" s="608"/>
      <c r="K13" s="138" t="s">
        <v>204</v>
      </c>
    </row>
    <row r="14" spans="1:226" s="116" customFormat="1" ht="13.5" thickBot="1">
      <c r="A14" s="122">
        <v>30</v>
      </c>
      <c r="B14" s="126" t="s">
        <v>59</v>
      </c>
      <c r="C14" s="127">
        <v>6</v>
      </c>
      <c r="D14" s="127">
        <v>13</v>
      </c>
      <c r="E14" s="606">
        <f>E10</f>
        <v>13.722</v>
      </c>
      <c r="F14" s="606"/>
      <c r="G14" s="606">
        <v>13.45</v>
      </c>
      <c r="H14" s="606"/>
      <c r="I14" s="607">
        <f>(E14-G14)/D14</f>
        <v>2.092307692307694E-2</v>
      </c>
      <c r="J14" s="607"/>
      <c r="K14" s="139" t="s">
        <v>297</v>
      </c>
      <c r="M14" s="140"/>
      <c r="N14" s="141"/>
    </row>
    <row r="15" spans="1:226" s="116" customFormat="1">
      <c r="A15" s="106"/>
      <c r="B15" s="107"/>
      <c r="C15" s="107"/>
      <c r="D15" s="107"/>
      <c r="E15" s="107"/>
      <c r="F15" s="142"/>
      <c r="G15" s="143"/>
      <c r="H15" s="144"/>
      <c r="I15" s="145"/>
      <c r="J15" s="142"/>
      <c r="K15" s="146" t="s">
        <v>205</v>
      </c>
    </row>
    <row r="16" spans="1:226" s="116" customFormat="1" ht="12.75" customHeight="1">
      <c r="A16" s="147"/>
      <c r="B16" s="148"/>
      <c r="C16" s="148"/>
      <c r="D16" s="148"/>
      <c r="E16" s="148"/>
      <c r="F16" s="149"/>
      <c r="G16" s="150"/>
      <c r="H16" s="151"/>
      <c r="I16" s="152"/>
      <c r="J16" s="149"/>
      <c r="K16" s="153"/>
    </row>
    <row r="17" spans="1:11" s="116" customFormat="1">
      <c r="A17" s="147"/>
      <c r="B17" s="148"/>
      <c r="C17" s="148"/>
      <c r="D17" s="148"/>
      <c r="E17" s="148"/>
      <c r="F17" s="149"/>
      <c r="G17" s="150"/>
      <c r="H17" s="151"/>
      <c r="I17" s="152"/>
      <c r="J17" s="149"/>
      <c r="K17" s="153"/>
    </row>
    <row r="18" spans="1:11" s="116" customFormat="1">
      <c r="A18" s="147"/>
      <c r="B18" s="148"/>
      <c r="C18" s="148"/>
      <c r="D18" s="148"/>
      <c r="E18" s="148"/>
      <c r="F18" s="149"/>
      <c r="G18" s="150"/>
      <c r="H18" s="151"/>
      <c r="I18" s="152"/>
      <c r="J18" s="149"/>
      <c r="K18" s="153"/>
    </row>
    <row r="19" spans="1:11" s="116" customFormat="1">
      <c r="A19" s="147"/>
      <c r="B19" s="148"/>
      <c r="C19" s="148"/>
      <c r="D19" s="148"/>
      <c r="E19" s="148"/>
      <c r="F19" s="149"/>
      <c r="G19" s="150"/>
      <c r="H19" s="151"/>
      <c r="I19" s="152"/>
      <c r="J19" s="149"/>
      <c r="K19" s="153"/>
    </row>
    <row r="20" spans="1:11" s="116" customFormat="1">
      <c r="A20" s="147"/>
      <c r="B20" s="148"/>
      <c r="C20" s="148"/>
      <c r="D20" s="148"/>
      <c r="E20" s="148"/>
      <c r="F20" s="149"/>
      <c r="G20" s="150"/>
      <c r="H20" s="151"/>
      <c r="I20" s="152"/>
      <c r="J20" s="149"/>
      <c r="K20" s="153"/>
    </row>
    <row r="21" spans="1:11" s="116" customFormat="1">
      <c r="A21" s="147"/>
      <c r="B21" s="148"/>
      <c r="C21" s="148"/>
      <c r="D21" s="148"/>
      <c r="E21" s="148"/>
      <c r="F21" s="149"/>
      <c r="G21" s="150"/>
      <c r="H21" s="151"/>
      <c r="I21" s="152"/>
      <c r="J21" s="149"/>
      <c r="K21" s="153"/>
    </row>
    <row r="22" spans="1:11" s="116" customFormat="1">
      <c r="A22" s="147"/>
      <c r="B22" s="148"/>
      <c r="C22" s="148"/>
      <c r="D22" s="148"/>
      <c r="E22" s="148"/>
      <c r="F22" s="149"/>
      <c r="G22" s="150"/>
      <c r="H22" s="151"/>
      <c r="I22" s="152"/>
      <c r="J22" s="149"/>
      <c r="K22" s="153"/>
    </row>
    <row r="23" spans="1:11" s="116" customFormat="1">
      <c r="A23" s="147"/>
      <c r="B23" s="148"/>
      <c r="C23" s="148"/>
      <c r="D23" s="148"/>
      <c r="E23" s="148"/>
      <c r="F23" s="149"/>
      <c r="G23" s="150"/>
      <c r="H23" s="151"/>
      <c r="I23" s="152"/>
      <c r="J23" s="149"/>
      <c r="K23" s="153"/>
    </row>
    <row r="24" spans="1:11" s="116" customFormat="1">
      <c r="A24" s="147"/>
      <c r="B24" s="148"/>
      <c r="C24" s="148"/>
      <c r="D24" s="148"/>
      <c r="E24" s="148"/>
      <c r="F24" s="149"/>
      <c r="G24" s="150"/>
      <c r="H24" s="151"/>
      <c r="I24" s="152"/>
      <c r="J24" s="149"/>
      <c r="K24" s="153"/>
    </row>
    <row r="25" spans="1:11" s="116" customFormat="1">
      <c r="A25" s="147"/>
      <c r="B25" s="148"/>
      <c r="C25" s="148"/>
      <c r="D25" s="148"/>
      <c r="E25" s="148"/>
      <c r="F25" s="149"/>
      <c r="G25" s="150"/>
      <c r="H25" s="151"/>
      <c r="I25" s="152"/>
      <c r="J25" s="149"/>
      <c r="K25" s="153"/>
    </row>
    <row r="26" spans="1:11" s="116" customFormat="1">
      <c r="A26" s="147"/>
      <c r="B26" s="148"/>
      <c r="C26" s="148"/>
      <c r="D26" s="148"/>
      <c r="E26" s="148"/>
      <c r="F26" s="149"/>
      <c r="G26" s="150"/>
      <c r="H26" s="151"/>
      <c r="I26" s="152"/>
      <c r="J26" s="149"/>
      <c r="K26" s="153"/>
    </row>
    <row r="27" spans="1:11" s="116" customFormat="1">
      <c r="A27" s="147"/>
      <c r="B27" s="148"/>
      <c r="C27" s="148"/>
      <c r="D27" s="148"/>
      <c r="E27" s="148"/>
      <c r="F27" s="149"/>
      <c r="G27" s="150"/>
      <c r="H27" s="151"/>
      <c r="I27" s="152"/>
      <c r="J27" s="149"/>
      <c r="K27" s="153"/>
    </row>
    <row r="28" spans="1:11" s="116" customFormat="1">
      <c r="A28" s="147"/>
      <c r="B28" s="148"/>
      <c r="C28" s="148"/>
      <c r="D28" s="148"/>
      <c r="E28" s="148"/>
      <c r="F28" s="149"/>
      <c r="G28" s="150"/>
      <c r="H28" s="151"/>
      <c r="I28" s="152"/>
      <c r="J28" s="149"/>
      <c r="K28" s="153"/>
    </row>
    <row r="29" spans="1:11" s="116" customFormat="1">
      <c r="A29" s="147"/>
      <c r="B29" s="148"/>
      <c r="C29" s="148"/>
      <c r="D29" s="148"/>
      <c r="E29" s="148"/>
      <c r="F29" s="149"/>
      <c r="G29" s="150"/>
      <c r="H29" s="151"/>
      <c r="I29" s="152"/>
      <c r="J29" s="149"/>
      <c r="K29" s="153"/>
    </row>
    <row r="30" spans="1:11" s="116" customFormat="1">
      <c r="A30" s="147"/>
      <c r="B30" s="148"/>
      <c r="C30" s="148"/>
      <c r="D30" s="148"/>
      <c r="E30" s="148"/>
      <c r="F30" s="149"/>
      <c r="G30" s="150"/>
      <c r="H30" s="151"/>
      <c r="I30" s="152"/>
      <c r="J30" s="149"/>
      <c r="K30" s="153"/>
    </row>
    <row r="31" spans="1:11" s="116" customFormat="1">
      <c r="A31" s="147"/>
      <c r="B31" s="148"/>
      <c r="C31" s="148"/>
      <c r="D31" s="148"/>
      <c r="E31" s="148"/>
      <c r="F31" s="149"/>
      <c r="G31" s="150"/>
      <c r="H31" s="151"/>
      <c r="I31" s="152"/>
      <c r="J31" s="149"/>
      <c r="K31" s="153"/>
    </row>
    <row r="32" spans="1:11" s="116" customFormat="1">
      <c r="A32" s="147"/>
      <c r="B32" s="148"/>
      <c r="C32" s="148"/>
      <c r="D32" s="148"/>
      <c r="E32" s="148"/>
      <c r="F32" s="149"/>
      <c r="G32" s="150"/>
      <c r="H32" s="151"/>
      <c r="I32" s="152"/>
      <c r="J32" s="149"/>
      <c r="K32" s="153"/>
    </row>
    <row r="33" spans="1:226" s="116" customFormat="1">
      <c r="A33" s="147"/>
      <c r="B33" s="148"/>
      <c r="C33" s="148"/>
      <c r="D33" s="148"/>
      <c r="E33" s="148"/>
      <c r="F33" s="149"/>
      <c r="G33" s="150"/>
      <c r="H33" s="151"/>
      <c r="I33" s="152"/>
      <c r="J33" s="149"/>
      <c r="K33" s="153"/>
    </row>
    <row r="34" spans="1:226" s="116" customFormat="1">
      <c r="A34" s="147"/>
      <c r="B34" s="148"/>
      <c r="C34" s="148"/>
      <c r="D34" s="148"/>
      <c r="E34" s="148"/>
      <c r="F34" s="149"/>
      <c r="G34" s="150"/>
      <c r="H34" s="151"/>
      <c r="I34" s="152"/>
      <c r="J34" s="149"/>
      <c r="K34" s="153"/>
    </row>
    <row r="35" spans="1:226" s="116" customFormat="1">
      <c r="A35" s="147"/>
      <c r="B35" s="148"/>
      <c r="C35" s="148"/>
      <c r="D35" s="148"/>
      <c r="E35" s="148"/>
      <c r="F35" s="149"/>
      <c r="G35" s="150"/>
      <c r="H35" s="151"/>
      <c r="I35" s="152"/>
      <c r="J35" s="149"/>
      <c r="K35" s="153"/>
    </row>
    <row r="36" spans="1:226" s="116" customFormat="1">
      <c r="A36" s="147"/>
      <c r="B36" s="148"/>
      <c r="C36" s="148"/>
      <c r="D36" s="148"/>
      <c r="E36" s="148"/>
      <c r="F36" s="149"/>
      <c r="G36" s="150"/>
      <c r="H36" s="151"/>
      <c r="I36" s="152"/>
      <c r="J36" s="149"/>
      <c r="K36" s="153"/>
    </row>
    <row r="37" spans="1:226" s="116" customFormat="1" ht="13.5" thickBot="1">
      <c r="A37" s="108"/>
      <c r="B37" s="109"/>
      <c r="C37" s="109"/>
      <c r="D37" s="109"/>
      <c r="E37" s="109"/>
      <c r="F37" s="154"/>
      <c r="G37" s="154"/>
      <c r="H37" s="154"/>
      <c r="I37" s="154"/>
      <c r="J37" s="155"/>
      <c r="K37" s="156"/>
    </row>
    <row r="38" spans="1:226" s="118" customFormat="1" ht="13.5" customHeight="1">
      <c r="A38" s="590" t="s">
        <v>190</v>
      </c>
      <c r="B38" s="591"/>
      <c r="C38" s="591"/>
      <c r="D38" s="591"/>
      <c r="E38" s="591"/>
      <c r="F38" s="591"/>
      <c r="G38" s="591"/>
      <c r="H38" s="591"/>
      <c r="I38" s="591"/>
      <c r="J38" s="591"/>
      <c r="K38" s="592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6"/>
      <c r="BH38" s="116"/>
      <c r="BI38" s="116"/>
      <c r="BJ38" s="116"/>
      <c r="BK38" s="116"/>
      <c r="BL38" s="116"/>
      <c r="BM38" s="116"/>
      <c r="BN38" s="116"/>
      <c r="BO38" s="116"/>
      <c r="BP38" s="116"/>
      <c r="BQ38" s="116"/>
      <c r="BR38" s="116"/>
      <c r="BS38" s="116"/>
      <c r="BT38" s="116"/>
      <c r="BU38" s="116"/>
      <c r="BV38" s="116"/>
      <c r="BW38" s="116"/>
      <c r="BX38" s="116"/>
      <c r="BY38" s="116"/>
      <c r="BZ38" s="116"/>
      <c r="CA38" s="116"/>
      <c r="CB38" s="116"/>
      <c r="CC38" s="116"/>
      <c r="CD38" s="116"/>
      <c r="CE38" s="116"/>
      <c r="CF38" s="116"/>
      <c r="CG38" s="116"/>
      <c r="CH38" s="116"/>
      <c r="CI38" s="116"/>
      <c r="CJ38" s="116"/>
      <c r="CK38" s="116"/>
      <c r="CL38" s="116"/>
      <c r="CM38" s="116"/>
      <c r="CN38" s="116"/>
      <c r="CO38" s="116"/>
      <c r="CP38" s="116"/>
      <c r="CQ38" s="116"/>
      <c r="CR38" s="116"/>
      <c r="CS38" s="116"/>
      <c r="CT38" s="116"/>
      <c r="CU38" s="116"/>
      <c r="CV38" s="116"/>
      <c r="CW38" s="116"/>
      <c r="CX38" s="116"/>
      <c r="CY38" s="116"/>
      <c r="CZ38" s="116"/>
      <c r="DA38" s="116"/>
      <c r="DB38" s="116"/>
      <c r="DC38" s="116"/>
      <c r="DD38" s="116"/>
      <c r="DE38" s="116"/>
      <c r="DF38" s="116"/>
      <c r="DG38" s="116"/>
      <c r="DH38" s="116"/>
      <c r="DI38" s="116"/>
      <c r="DJ38" s="116"/>
      <c r="DK38" s="116"/>
      <c r="DL38" s="116"/>
      <c r="DM38" s="116"/>
      <c r="DN38" s="116"/>
      <c r="DO38" s="116"/>
      <c r="DP38" s="116"/>
      <c r="DQ38" s="116"/>
      <c r="DR38" s="116"/>
      <c r="DS38" s="116"/>
      <c r="DT38" s="116"/>
      <c r="DU38" s="116"/>
      <c r="DV38" s="116"/>
      <c r="DW38" s="116"/>
      <c r="DX38" s="116"/>
      <c r="DY38" s="116"/>
      <c r="DZ38" s="116"/>
      <c r="EA38" s="116"/>
      <c r="EB38" s="116"/>
      <c r="EC38" s="116"/>
      <c r="ED38" s="116"/>
      <c r="EE38" s="116"/>
      <c r="EF38" s="116"/>
      <c r="EG38" s="116"/>
      <c r="EH38" s="116"/>
      <c r="EI38" s="116"/>
      <c r="EJ38" s="116"/>
      <c r="EK38" s="116"/>
      <c r="EL38" s="116"/>
      <c r="EM38" s="116"/>
      <c r="EN38" s="116"/>
      <c r="EO38" s="116"/>
      <c r="EP38" s="116"/>
      <c r="EQ38" s="116"/>
      <c r="ER38" s="116"/>
      <c r="ES38" s="116"/>
      <c r="ET38" s="116"/>
      <c r="EU38" s="116"/>
      <c r="EV38" s="116"/>
      <c r="EW38" s="116"/>
      <c r="EX38" s="116"/>
      <c r="EY38" s="116"/>
      <c r="EZ38" s="116"/>
      <c r="FA38" s="116"/>
      <c r="FB38" s="116"/>
      <c r="FC38" s="116"/>
      <c r="FD38" s="116"/>
      <c r="FE38" s="116"/>
      <c r="FF38" s="116"/>
      <c r="FG38" s="116"/>
      <c r="FH38" s="116"/>
      <c r="FI38" s="116"/>
      <c r="FJ38" s="116"/>
      <c r="FK38" s="116"/>
      <c r="FL38" s="116"/>
      <c r="FM38" s="116"/>
      <c r="FN38" s="116"/>
      <c r="FO38" s="116"/>
      <c r="FP38" s="116"/>
      <c r="FQ38" s="116"/>
      <c r="FR38" s="116"/>
      <c r="FS38" s="116"/>
      <c r="FT38" s="116"/>
      <c r="FU38" s="116"/>
      <c r="FV38" s="116"/>
      <c r="FW38" s="116"/>
      <c r="FX38" s="116"/>
      <c r="FY38" s="116"/>
      <c r="FZ38" s="116"/>
      <c r="GA38" s="116"/>
      <c r="GB38" s="116"/>
      <c r="GC38" s="116"/>
      <c r="GD38" s="116"/>
      <c r="GE38" s="116"/>
      <c r="GF38" s="116"/>
      <c r="GG38" s="116"/>
      <c r="GH38" s="116"/>
      <c r="GI38" s="116"/>
      <c r="GJ38" s="116"/>
      <c r="GK38" s="116"/>
      <c r="GL38" s="116"/>
      <c r="GM38" s="116"/>
      <c r="GN38" s="116"/>
      <c r="GO38" s="116"/>
      <c r="GP38" s="116"/>
      <c r="GQ38" s="116"/>
      <c r="GR38" s="116"/>
      <c r="GS38" s="116"/>
      <c r="GT38" s="116"/>
      <c r="GU38" s="116"/>
      <c r="GV38" s="116"/>
      <c r="GW38" s="116"/>
      <c r="GX38" s="116"/>
      <c r="GY38" s="116"/>
      <c r="GZ38" s="116"/>
      <c r="HA38" s="116"/>
      <c r="HB38" s="116"/>
      <c r="HC38" s="116"/>
      <c r="HD38" s="116"/>
      <c r="HE38" s="116"/>
      <c r="HF38" s="116"/>
      <c r="HG38" s="116"/>
      <c r="HH38" s="116"/>
      <c r="HI38" s="116"/>
      <c r="HJ38" s="116"/>
      <c r="HK38" s="116"/>
      <c r="HL38" s="116"/>
      <c r="HM38" s="116"/>
      <c r="HN38" s="116"/>
      <c r="HO38" s="116"/>
      <c r="HP38" s="116"/>
      <c r="HQ38" s="116"/>
      <c r="HR38" s="116"/>
    </row>
    <row r="39" spans="1:226" ht="13.5" customHeight="1">
      <c r="A39" s="119" t="s">
        <v>191</v>
      </c>
      <c r="B39" s="120" t="s">
        <v>192</v>
      </c>
      <c r="C39" s="120" t="s">
        <v>193</v>
      </c>
      <c r="D39" s="120" t="s">
        <v>194</v>
      </c>
      <c r="E39" s="120" t="s">
        <v>195</v>
      </c>
      <c r="F39" s="120" t="s">
        <v>196</v>
      </c>
      <c r="G39" s="120" t="s">
        <v>197</v>
      </c>
      <c r="H39" s="120" t="s">
        <v>55</v>
      </c>
      <c r="I39" s="120" t="s">
        <v>198</v>
      </c>
      <c r="J39" s="120" t="s">
        <v>199</v>
      </c>
      <c r="K39" s="121" t="s">
        <v>200</v>
      </c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6"/>
      <c r="AJ39" s="116"/>
      <c r="AK39" s="116"/>
      <c r="AL39" s="116"/>
      <c r="AM39" s="116"/>
      <c r="AN39" s="116"/>
      <c r="AO39" s="116"/>
      <c r="AP39" s="116"/>
      <c r="AQ39" s="116"/>
      <c r="AR39" s="116"/>
      <c r="AS39" s="116"/>
      <c r="AT39" s="116"/>
      <c r="AU39" s="116"/>
      <c r="AV39" s="116"/>
      <c r="AW39" s="116"/>
      <c r="AX39" s="116"/>
      <c r="AY39" s="116"/>
      <c r="AZ39" s="116"/>
      <c r="BA39" s="116"/>
      <c r="BB39" s="116"/>
      <c r="BC39" s="116"/>
      <c r="BD39" s="116"/>
      <c r="BE39" s="116"/>
      <c r="BF39" s="116"/>
      <c r="BG39" s="116"/>
      <c r="BH39" s="116"/>
      <c r="BI39" s="116"/>
      <c r="BJ39" s="116"/>
      <c r="BK39" s="116"/>
      <c r="BL39" s="116"/>
      <c r="BM39" s="116"/>
      <c r="BN39" s="116"/>
      <c r="BO39" s="116"/>
      <c r="BP39" s="116"/>
      <c r="BQ39" s="116"/>
      <c r="BR39" s="116"/>
      <c r="BS39" s="116"/>
      <c r="BT39" s="116"/>
      <c r="BU39" s="116"/>
      <c r="BV39" s="116"/>
      <c r="BW39" s="116"/>
      <c r="BX39" s="116"/>
      <c r="BY39" s="116"/>
      <c r="BZ39" s="116"/>
      <c r="CA39" s="116"/>
      <c r="CB39" s="116"/>
      <c r="CC39" s="116"/>
      <c r="CD39" s="116"/>
      <c r="CE39" s="116"/>
      <c r="CF39" s="116"/>
      <c r="CG39" s="116"/>
      <c r="CH39" s="116"/>
      <c r="CI39" s="116"/>
      <c r="CJ39" s="116"/>
      <c r="CK39" s="116"/>
      <c r="CL39" s="116"/>
      <c r="CM39" s="116"/>
      <c r="CN39" s="116"/>
      <c r="CO39" s="116"/>
      <c r="CP39" s="116"/>
      <c r="CQ39" s="116"/>
      <c r="CR39" s="116"/>
      <c r="CS39" s="116"/>
      <c r="CT39" s="116"/>
      <c r="CU39" s="116"/>
      <c r="CV39" s="116"/>
      <c r="CW39" s="116"/>
      <c r="CX39" s="116"/>
      <c r="CY39" s="116"/>
      <c r="CZ39" s="116"/>
      <c r="DA39" s="116"/>
      <c r="DB39" s="116"/>
      <c r="DC39" s="116"/>
      <c r="DD39" s="116"/>
      <c r="DE39" s="116"/>
      <c r="DF39" s="116"/>
      <c r="DG39" s="116"/>
      <c r="DH39" s="116"/>
      <c r="DI39" s="116"/>
      <c r="DJ39" s="116"/>
      <c r="DK39" s="116"/>
      <c r="DL39" s="116"/>
      <c r="DM39" s="116"/>
      <c r="DN39" s="116"/>
      <c r="DO39" s="116"/>
      <c r="DP39" s="116"/>
      <c r="DQ39" s="116"/>
      <c r="DR39" s="116"/>
      <c r="DS39" s="116"/>
      <c r="DT39" s="116"/>
      <c r="DU39" s="116"/>
      <c r="DV39" s="116"/>
      <c r="DW39" s="116"/>
      <c r="DX39" s="116"/>
      <c r="DY39" s="116"/>
      <c r="DZ39" s="116"/>
      <c r="EA39" s="116"/>
      <c r="EB39" s="116"/>
      <c r="EC39" s="116"/>
      <c r="ED39" s="116"/>
      <c r="EE39" s="116"/>
      <c r="EF39" s="116"/>
      <c r="EG39" s="116"/>
      <c r="EH39" s="116"/>
      <c r="EI39" s="116"/>
      <c r="EJ39" s="116"/>
      <c r="EK39" s="116"/>
      <c r="EL39" s="116"/>
      <c r="EM39" s="116"/>
      <c r="EN39" s="116"/>
      <c r="EO39" s="116"/>
      <c r="EP39" s="116"/>
      <c r="EQ39" s="116"/>
      <c r="ER39" s="116"/>
      <c r="ES39" s="116"/>
      <c r="ET39" s="116"/>
      <c r="EU39" s="116"/>
      <c r="EV39" s="116"/>
      <c r="EW39" s="116"/>
      <c r="EX39" s="116"/>
      <c r="EY39" s="116"/>
      <c r="EZ39" s="116"/>
      <c r="FA39" s="116"/>
      <c r="FB39" s="116"/>
      <c r="FC39" s="116"/>
      <c r="FD39" s="116"/>
      <c r="FE39" s="116"/>
      <c r="FF39" s="116"/>
      <c r="FG39" s="116"/>
      <c r="FH39" s="116"/>
      <c r="FI39" s="116"/>
      <c r="FJ39" s="116"/>
      <c r="FK39" s="116"/>
      <c r="FL39" s="116"/>
      <c r="FM39" s="116"/>
      <c r="FN39" s="116"/>
      <c r="FO39" s="116"/>
      <c r="FP39" s="116"/>
      <c r="FQ39" s="116"/>
      <c r="FR39" s="116"/>
      <c r="FS39" s="116"/>
      <c r="FT39" s="116"/>
      <c r="FU39" s="116"/>
      <c r="FV39" s="116"/>
      <c r="FW39" s="116"/>
      <c r="FX39" s="116"/>
      <c r="FY39" s="116"/>
      <c r="FZ39" s="116"/>
      <c r="GA39" s="116"/>
      <c r="GB39" s="116"/>
      <c r="GC39" s="116"/>
      <c r="GD39" s="116"/>
      <c r="GE39" s="116"/>
      <c r="GF39" s="116"/>
      <c r="GG39" s="116"/>
      <c r="GH39" s="116"/>
      <c r="GI39" s="116"/>
      <c r="GJ39" s="116"/>
      <c r="GK39" s="116"/>
      <c r="GL39" s="116"/>
      <c r="GM39" s="116"/>
      <c r="GN39" s="116"/>
      <c r="GO39" s="116"/>
      <c r="GP39" s="116"/>
      <c r="GQ39" s="116"/>
      <c r="GR39" s="116"/>
      <c r="GS39" s="116"/>
      <c r="GT39" s="116"/>
      <c r="GU39" s="116"/>
      <c r="GV39" s="116"/>
      <c r="GW39" s="116"/>
      <c r="GX39" s="116"/>
      <c r="GY39" s="116"/>
      <c r="GZ39" s="116"/>
      <c r="HA39" s="116"/>
      <c r="HB39" s="116"/>
      <c r="HC39" s="116"/>
      <c r="HD39" s="116"/>
      <c r="HE39" s="116"/>
      <c r="HF39" s="116"/>
      <c r="HG39" s="116"/>
      <c r="HH39" s="116"/>
      <c r="HI39" s="116"/>
      <c r="HJ39" s="116"/>
      <c r="HK39" s="116"/>
      <c r="HL39" s="116"/>
      <c r="HM39" s="116"/>
      <c r="HN39" s="116"/>
      <c r="HO39" s="116"/>
      <c r="HP39" s="116"/>
      <c r="HQ39" s="116"/>
      <c r="HR39" s="116"/>
    </row>
    <row r="40" spans="1:226" s="116" customFormat="1" ht="13.5" thickBot="1">
      <c r="A40" s="122">
        <v>2</v>
      </c>
      <c r="B40" s="123">
        <v>900</v>
      </c>
      <c r="C40" s="124">
        <f>BACIAS!G6</f>
        <v>0.17380799999999999</v>
      </c>
      <c r="D40" s="124">
        <v>15</v>
      </c>
      <c r="E40" s="124">
        <v>13.157999999999999</v>
      </c>
      <c r="F40" s="125">
        <f>(D40-E40)/(B40/1000)</f>
        <v>2.0466666666666673</v>
      </c>
      <c r="G40" s="126">
        <v>25</v>
      </c>
      <c r="H40" s="127">
        <f>57*(((B40/1000)^2/(F40))^0.385)</f>
        <v>39.892242290557796</v>
      </c>
      <c r="I40" s="124">
        <f>(3445.7*G40^0.138)/(H40+26)^1.012</f>
        <v>77.541265748726843</v>
      </c>
      <c r="J40" s="128">
        <v>0.25</v>
      </c>
      <c r="K40" s="129">
        <f>(J40*I40*C40)/3.6</f>
        <v>0.935923077587133</v>
      </c>
    </row>
    <row r="41" spans="1:226" s="116" customFormat="1" ht="6" customHeight="1" thickBot="1">
      <c r="A41" s="130"/>
      <c r="B41" s="131"/>
      <c r="C41" s="131"/>
      <c r="D41" s="131"/>
      <c r="E41" s="131"/>
      <c r="F41" s="132"/>
      <c r="G41" s="133"/>
      <c r="H41" s="134"/>
      <c r="I41" s="135"/>
      <c r="J41" s="132"/>
      <c r="K41" s="136"/>
    </row>
    <row r="42" spans="1:226" s="116" customFormat="1" ht="13.5" thickBot="1">
      <c r="A42" s="593" t="s">
        <v>201</v>
      </c>
      <c r="B42" s="594"/>
      <c r="C42" s="594"/>
      <c r="D42" s="594"/>
      <c r="E42" s="594"/>
      <c r="F42" s="594"/>
      <c r="G42" s="594"/>
      <c r="H42" s="594"/>
      <c r="I42" s="594"/>
      <c r="J42" s="594"/>
      <c r="K42" s="595"/>
    </row>
    <row r="43" spans="1:226" s="116" customFormat="1" ht="12.75" customHeight="1">
      <c r="A43" s="609" t="s">
        <v>202</v>
      </c>
      <c r="B43" s="608"/>
      <c r="C43" s="608"/>
      <c r="D43" s="137" t="s">
        <v>192</v>
      </c>
      <c r="E43" s="608" t="s">
        <v>194</v>
      </c>
      <c r="F43" s="608"/>
      <c r="G43" s="608" t="s">
        <v>195</v>
      </c>
      <c r="H43" s="608"/>
      <c r="I43" s="608" t="s">
        <v>203</v>
      </c>
      <c r="J43" s="608"/>
      <c r="K43" s="138" t="s">
        <v>204</v>
      </c>
    </row>
    <row r="44" spans="1:226" s="116" customFormat="1" ht="13.5" thickBot="1">
      <c r="A44" s="122">
        <v>50</v>
      </c>
      <c r="B44" s="126" t="s">
        <v>59</v>
      </c>
      <c r="C44" s="127">
        <v>0</v>
      </c>
      <c r="D44" s="127">
        <v>13</v>
      </c>
      <c r="E44" s="606">
        <f>E40</f>
        <v>13.157999999999999</v>
      </c>
      <c r="F44" s="606"/>
      <c r="G44" s="606">
        <v>12.898</v>
      </c>
      <c r="H44" s="606"/>
      <c r="I44" s="607">
        <f>(E44-G44)/D44</f>
        <v>1.9999999999999983E-2</v>
      </c>
      <c r="J44" s="607"/>
      <c r="K44" s="139" t="s">
        <v>297</v>
      </c>
      <c r="M44" s="140"/>
    </row>
    <row r="45" spans="1:226" s="116" customFormat="1">
      <c r="A45" s="147"/>
      <c r="B45" s="148"/>
      <c r="C45" s="148"/>
      <c r="D45" s="148"/>
      <c r="E45" s="148"/>
      <c r="F45" s="149"/>
      <c r="G45" s="150"/>
      <c r="H45" s="151"/>
      <c r="I45" s="152"/>
      <c r="J45" s="149"/>
      <c r="K45" s="146" t="s">
        <v>205</v>
      </c>
      <c r="N45" s="141"/>
    </row>
    <row r="46" spans="1:226" s="116" customFormat="1" ht="12.75" customHeight="1">
      <c r="A46" s="147"/>
      <c r="B46" s="148"/>
      <c r="C46" s="148"/>
      <c r="D46" s="148"/>
      <c r="E46" s="148"/>
      <c r="F46" s="149"/>
      <c r="G46" s="150"/>
      <c r="H46" s="151"/>
      <c r="I46" s="152"/>
      <c r="J46" s="149"/>
      <c r="K46" s="157"/>
    </row>
    <row r="47" spans="1:226" s="116" customFormat="1">
      <c r="A47" s="147"/>
      <c r="B47" s="148"/>
      <c r="C47" s="148"/>
      <c r="D47" s="148"/>
      <c r="E47" s="148"/>
      <c r="F47" s="149"/>
      <c r="G47" s="150"/>
      <c r="H47" s="151"/>
      <c r="I47" s="152"/>
      <c r="J47" s="149"/>
      <c r="K47" s="153"/>
    </row>
    <row r="48" spans="1:226" s="116" customFormat="1">
      <c r="A48" s="147"/>
      <c r="B48" s="148"/>
      <c r="C48" s="148"/>
      <c r="D48" s="148"/>
      <c r="E48" s="148"/>
      <c r="F48" s="149"/>
      <c r="G48" s="150"/>
      <c r="H48" s="151"/>
      <c r="I48" s="152"/>
      <c r="J48" s="149"/>
      <c r="K48" s="153"/>
    </row>
    <row r="49" spans="1:11" s="116" customFormat="1">
      <c r="A49" s="147"/>
      <c r="B49" s="148"/>
      <c r="C49" s="148"/>
      <c r="D49" s="148"/>
      <c r="E49" s="148"/>
      <c r="F49" s="149"/>
      <c r="G49" s="150"/>
      <c r="H49" s="151"/>
      <c r="I49" s="152"/>
      <c r="J49" s="149"/>
      <c r="K49" s="153"/>
    </row>
    <row r="50" spans="1:11" s="116" customFormat="1">
      <c r="A50" s="147"/>
      <c r="B50" s="148"/>
      <c r="C50" s="148"/>
      <c r="D50" s="148"/>
      <c r="E50" s="148"/>
      <c r="F50" s="149"/>
      <c r="G50" s="150"/>
      <c r="H50" s="151"/>
      <c r="I50" s="152"/>
      <c r="J50" s="149"/>
      <c r="K50" s="153"/>
    </row>
    <row r="51" spans="1:11" s="116" customFormat="1">
      <c r="A51" s="147"/>
      <c r="B51" s="148"/>
      <c r="C51" s="148"/>
      <c r="D51" s="148"/>
      <c r="E51" s="148"/>
      <c r="F51" s="149"/>
      <c r="G51" s="150"/>
      <c r="H51" s="151"/>
      <c r="I51" s="152"/>
      <c r="J51" s="149"/>
      <c r="K51" s="153"/>
    </row>
    <row r="52" spans="1:11" s="116" customFormat="1">
      <c r="A52" s="147"/>
      <c r="B52" s="148"/>
      <c r="C52" s="148"/>
      <c r="D52" s="148"/>
      <c r="E52" s="148"/>
      <c r="F52" s="149"/>
      <c r="G52" s="150"/>
      <c r="H52" s="151"/>
      <c r="I52" s="152"/>
      <c r="J52" s="149"/>
      <c r="K52" s="153"/>
    </row>
    <row r="53" spans="1:11" s="116" customFormat="1">
      <c r="A53" s="147"/>
      <c r="B53" s="148"/>
      <c r="C53" s="148"/>
      <c r="D53" s="148"/>
      <c r="E53" s="148"/>
      <c r="F53" s="149"/>
      <c r="G53" s="150"/>
      <c r="H53" s="151"/>
      <c r="I53" s="152"/>
      <c r="J53" s="149"/>
      <c r="K53" s="153"/>
    </row>
    <row r="54" spans="1:11" s="116" customFormat="1">
      <c r="A54" s="147"/>
      <c r="B54" s="148"/>
      <c r="C54" s="148"/>
      <c r="D54" s="148"/>
      <c r="E54" s="148"/>
      <c r="F54" s="149"/>
      <c r="G54" s="150"/>
      <c r="H54" s="151"/>
      <c r="I54" s="152"/>
      <c r="J54" s="149"/>
      <c r="K54" s="153"/>
    </row>
    <row r="55" spans="1:11" s="116" customFormat="1">
      <c r="A55" s="147"/>
      <c r="B55" s="148"/>
      <c r="C55" s="148"/>
      <c r="D55" s="148"/>
      <c r="E55" s="148"/>
      <c r="F55" s="149"/>
      <c r="G55" s="150"/>
      <c r="H55" s="151"/>
      <c r="I55" s="152"/>
      <c r="J55" s="149"/>
      <c r="K55" s="153"/>
    </row>
    <row r="56" spans="1:11" s="116" customFormat="1">
      <c r="A56" s="147"/>
      <c r="B56" s="148"/>
      <c r="C56" s="148"/>
      <c r="D56" s="148"/>
      <c r="E56" s="148"/>
      <c r="F56" s="149"/>
      <c r="G56" s="150"/>
      <c r="H56" s="151"/>
      <c r="I56" s="152"/>
      <c r="J56" s="149"/>
      <c r="K56" s="153"/>
    </row>
    <row r="57" spans="1:11" s="116" customFormat="1">
      <c r="A57" s="147"/>
      <c r="B57" s="148"/>
      <c r="C57" s="148"/>
      <c r="D57" s="148"/>
      <c r="E57" s="148"/>
      <c r="F57" s="149"/>
      <c r="G57" s="150"/>
      <c r="H57" s="151"/>
      <c r="I57" s="152"/>
      <c r="J57" s="149"/>
      <c r="K57" s="153"/>
    </row>
    <row r="58" spans="1:11" s="116" customFormat="1">
      <c r="A58" s="147"/>
      <c r="B58" s="148"/>
      <c r="C58" s="148"/>
      <c r="D58" s="148"/>
      <c r="E58" s="148"/>
      <c r="F58" s="149"/>
      <c r="G58" s="150"/>
      <c r="H58" s="151"/>
      <c r="I58" s="152"/>
      <c r="J58" s="149"/>
      <c r="K58" s="153"/>
    </row>
    <row r="59" spans="1:11" s="116" customFormat="1">
      <c r="A59" s="147"/>
      <c r="B59" s="148"/>
      <c r="C59" s="148"/>
      <c r="D59" s="148"/>
      <c r="E59" s="148"/>
      <c r="F59" s="149"/>
      <c r="G59" s="150"/>
      <c r="H59" s="151"/>
      <c r="I59" s="152"/>
      <c r="J59" s="149"/>
      <c r="K59" s="153"/>
    </row>
    <row r="60" spans="1:11" s="116" customFormat="1">
      <c r="A60" s="147"/>
      <c r="B60" s="148"/>
      <c r="C60" s="148"/>
      <c r="D60" s="148"/>
      <c r="E60" s="148"/>
      <c r="F60" s="149"/>
      <c r="G60" s="150"/>
      <c r="H60" s="151"/>
      <c r="I60" s="152"/>
      <c r="J60" s="149"/>
      <c r="K60" s="153"/>
    </row>
    <row r="61" spans="1:11" s="116" customFormat="1">
      <c r="A61" s="147"/>
      <c r="B61" s="148"/>
      <c r="C61" s="148"/>
      <c r="D61" s="148"/>
      <c r="E61" s="148"/>
      <c r="F61" s="149"/>
      <c r="G61" s="150"/>
      <c r="H61" s="151"/>
      <c r="I61" s="152"/>
      <c r="J61" s="149"/>
      <c r="K61" s="153"/>
    </row>
    <row r="62" spans="1:11" s="116" customFormat="1">
      <c r="A62" s="147"/>
      <c r="B62" s="148"/>
      <c r="C62" s="148"/>
      <c r="D62" s="148"/>
      <c r="E62" s="148"/>
      <c r="F62" s="149"/>
      <c r="G62" s="150"/>
      <c r="H62" s="151"/>
      <c r="I62" s="152"/>
      <c r="J62" s="149"/>
      <c r="K62" s="153"/>
    </row>
    <row r="63" spans="1:11" s="116" customFormat="1">
      <c r="A63" s="147"/>
      <c r="B63" s="148"/>
      <c r="C63" s="148"/>
      <c r="D63" s="148"/>
      <c r="E63" s="148"/>
      <c r="F63" s="149"/>
      <c r="G63" s="150"/>
      <c r="H63" s="151"/>
      <c r="I63" s="152"/>
      <c r="J63" s="149"/>
      <c r="K63" s="153"/>
    </row>
    <row r="64" spans="1:11" s="116" customFormat="1">
      <c r="A64" s="147"/>
      <c r="B64" s="148"/>
      <c r="C64" s="148"/>
      <c r="D64" s="148"/>
      <c r="E64" s="148"/>
      <c r="F64" s="149"/>
      <c r="G64" s="150"/>
      <c r="H64" s="151"/>
      <c r="I64" s="152"/>
      <c r="J64" s="149"/>
      <c r="K64" s="153"/>
    </row>
    <row r="65" spans="1:11" s="116" customFormat="1">
      <c r="A65" s="147"/>
      <c r="B65" s="148"/>
      <c r="C65" s="148"/>
      <c r="D65" s="148"/>
      <c r="E65" s="148"/>
      <c r="F65" s="149"/>
      <c r="G65" s="150"/>
      <c r="H65" s="151"/>
      <c r="I65" s="152"/>
      <c r="J65" s="149"/>
      <c r="K65" s="153"/>
    </row>
    <row r="66" spans="1:11" s="116" customFormat="1">
      <c r="A66" s="147"/>
      <c r="B66" s="148"/>
      <c r="C66" s="148"/>
      <c r="D66" s="148"/>
      <c r="E66" s="148"/>
      <c r="F66" s="149"/>
      <c r="G66" s="150"/>
      <c r="H66" s="151"/>
      <c r="I66" s="152"/>
      <c r="J66" s="149"/>
      <c r="K66" s="153"/>
    </row>
    <row r="67" spans="1:11" s="116" customFormat="1" ht="13.5" thickBot="1">
      <c r="A67" s="108"/>
      <c r="B67" s="109"/>
      <c r="C67" s="109"/>
      <c r="D67" s="109"/>
      <c r="E67" s="109"/>
      <c r="F67" s="154"/>
      <c r="G67" s="154"/>
      <c r="H67" s="154"/>
      <c r="I67" s="154"/>
      <c r="J67" s="155"/>
      <c r="K67" s="156"/>
    </row>
  </sheetData>
  <mergeCells count="26">
    <mergeCell ref="E44:F44"/>
    <mergeCell ref="G44:H44"/>
    <mergeCell ref="I44:J44"/>
    <mergeCell ref="G13:H13"/>
    <mergeCell ref="I13:J13"/>
    <mergeCell ref="G14:H14"/>
    <mergeCell ref="I14:J14"/>
    <mergeCell ref="E43:F43"/>
    <mergeCell ref="G43:H43"/>
    <mergeCell ref="I43:J43"/>
    <mergeCell ref="A38:K38"/>
    <mergeCell ref="A42:K42"/>
    <mergeCell ref="A43:C43"/>
    <mergeCell ref="E14:F14"/>
    <mergeCell ref="A13:C13"/>
    <mergeCell ref="E13:F13"/>
    <mergeCell ref="C2:K2"/>
    <mergeCell ref="C3:K3"/>
    <mergeCell ref="A5:D5"/>
    <mergeCell ref="E5:G5"/>
    <mergeCell ref="H5:K5"/>
    <mergeCell ref="A6:D6"/>
    <mergeCell ref="E6:G6"/>
    <mergeCell ref="H6:J6"/>
    <mergeCell ref="A8:K8"/>
    <mergeCell ref="A12:K12"/>
  </mergeCells>
  <printOptions horizontalCentered="1"/>
  <pageMargins left="0.59055118110236227" right="0.59055118110236227" top="0.78740157480314965" bottom="0.59055118110236227" header="0" footer="0"/>
  <pageSetup paperSize="9" scale="89" orientation="portrait" r:id="rId1"/>
  <headerFooter alignWithMargins="0">
    <oddFooter>&amp;CDarcio Pagani Vieira
Engenheiro Agrimensor
Crea/SC - 077.222-9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D4:G14"/>
  <sheetViews>
    <sheetView showGridLines="0" zoomScale="130" zoomScaleNormal="130" workbookViewId="0">
      <selection activeCell="G15" sqref="G15"/>
    </sheetView>
  </sheetViews>
  <sheetFormatPr defaultRowHeight="12.75"/>
  <cols>
    <col min="1" max="1" width="6.5703125" style="105" bestFit="1" customWidth="1"/>
    <col min="2" max="2" width="19.42578125" style="105" bestFit="1" customWidth="1"/>
    <col min="3" max="3" width="9.140625" style="105"/>
    <col min="4" max="4" width="5.5703125" style="161" bestFit="1" customWidth="1"/>
    <col min="5" max="5" width="23.7109375" style="161" bestFit="1" customWidth="1"/>
    <col min="6" max="6" width="23.5703125" style="105" hidden="1" customWidth="1"/>
    <col min="7" max="7" width="24.7109375" style="105" customWidth="1"/>
    <col min="8" max="8" width="22" style="105" bestFit="1" customWidth="1"/>
    <col min="9" max="256" width="9.140625" style="105"/>
    <col min="257" max="257" width="6.5703125" style="105" bestFit="1" customWidth="1"/>
    <col min="258" max="258" width="19.42578125" style="105" bestFit="1" customWidth="1"/>
    <col min="259" max="259" width="9.140625" style="105"/>
    <col min="260" max="260" width="5.5703125" style="105" bestFit="1" customWidth="1"/>
    <col min="261" max="261" width="23.7109375" style="105" bestFit="1" customWidth="1"/>
    <col min="262" max="262" width="0" style="105" hidden="1" customWidth="1"/>
    <col min="263" max="263" width="23.5703125" style="105" customWidth="1"/>
    <col min="264" max="264" width="22" style="105" bestFit="1" customWidth="1"/>
    <col min="265" max="512" width="9.140625" style="105"/>
    <col min="513" max="513" width="6.5703125" style="105" bestFit="1" customWidth="1"/>
    <col min="514" max="514" width="19.42578125" style="105" bestFit="1" customWidth="1"/>
    <col min="515" max="515" width="9.140625" style="105"/>
    <col min="516" max="516" width="5.5703125" style="105" bestFit="1" customWidth="1"/>
    <col min="517" max="517" width="23.7109375" style="105" bestFit="1" customWidth="1"/>
    <col min="518" max="518" width="0" style="105" hidden="1" customWidth="1"/>
    <col min="519" max="519" width="23.5703125" style="105" customWidth="1"/>
    <col min="520" max="520" width="22" style="105" bestFit="1" customWidth="1"/>
    <col min="521" max="768" width="9.140625" style="105"/>
    <col min="769" max="769" width="6.5703125" style="105" bestFit="1" customWidth="1"/>
    <col min="770" max="770" width="19.42578125" style="105" bestFit="1" customWidth="1"/>
    <col min="771" max="771" width="9.140625" style="105"/>
    <col min="772" max="772" width="5.5703125" style="105" bestFit="1" customWidth="1"/>
    <col min="773" max="773" width="23.7109375" style="105" bestFit="1" customWidth="1"/>
    <col min="774" max="774" width="0" style="105" hidden="1" customWidth="1"/>
    <col min="775" max="775" width="23.5703125" style="105" customWidth="1"/>
    <col min="776" max="776" width="22" style="105" bestFit="1" customWidth="1"/>
    <col min="777" max="1024" width="9.140625" style="105"/>
    <col min="1025" max="1025" width="6.5703125" style="105" bestFit="1" customWidth="1"/>
    <col min="1026" max="1026" width="19.42578125" style="105" bestFit="1" customWidth="1"/>
    <col min="1027" max="1027" width="9.140625" style="105"/>
    <col min="1028" max="1028" width="5.5703125" style="105" bestFit="1" customWidth="1"/>
    <col min="1029" max="1029" width="23.7109375" style="105" bestFit="1" customWidth="1"/>
    <col min="1030" max="1030" width="0" style="105" hidden="1" customWidth="1"/>
    <col min="1031" max="1031" width="23.5703125" style="105" customWidth="1"/>
    <col min="1032" max="1032" width="22" style="105" bestFit="1" customWidth="1"/>
    <col min="1033" max="1280" width="9.140625" style="105"/>
    <col min="1281" max="1281" width="6.5703125" style="105" bestFit="1" customWidth="1"/>
    <col min="1282" max="1282" width="19.42578125" style="105" bestFit="1" customWidth="1"/>
    <col min="1283" max="1283" width="9.140625" style="105"/>
    <col min="1284" max="1284" width="5.5703125" style="105" bestFit="1" customWidth="1"/>
    <col min="1285" max="1285" width="23.7109375" style="105" bestFit="1" customWidth="1"/>
    <col min="1286" max="1286" width="0" style="105" hidden="1" customWidth="1"/>
    <col min="1287" max="1287" width="23.5703125" style="105" customWidth="1"/>
    <col min="1288" max="1288" width="22" style="105" bestFit="1" customWidth="1"/>
    <col min="1289" max="1536" width="9.140625" style="105"/>
    <col min="1537" max="1537" width="6.5703125" style="105" bestFit="1" customWidth="1"/>
    <col min="1538" max="1538" width="19.42578125" style="105" bestFit="1" customWidth="1"/>
    <col min="1539" max="1539" width="9.140625" style="105"/>
    <col min="1540" max="1540" width="5.5703125" style="105" bestFit="1" customWidth="1"/>
    <col min="1541" max="1541" width="23.7109375" style="105" bestFit="1" customWidth="1"/>
    <col min="1542" max="1542" width="0" style="105" hidden="1" customWidth="1"/>
    <col min="1543" max="1543" width="23.5703125" style="105" customWidth="1"/>
    <col min="1544" max="1544" width="22" style="105" bestFit="1" customWidth="1"/>
    <col min="1545" max="1792" width="9.140625" style="105"/>
    <col min="1793" max="1793" width="6.5703125" style="105" bestFit="1" customWidth="1"/>
    <col min="1794" max="1794" width="19.42578125" style="105" bestFit="1" customWidth="1"/>
    <col min="1795" max="1795" width="9.140625" style="105"/>
    <col min="1796" max="1796" width="5.5703125" style="105" bestFit="1" customWidth="1"/>
    <col min="1797" max="1797" width="23.7109375" style="105" bestFit="1" customWidth="1"/>
    <col min="1798" max="1798" width="0" style="105" hidden="1" customWidth="1"/>
    <col min="1799" max="1799" width="23.5703125" style="105" customWidth="1"/>
    <col min="1800" max="1800" width="22" style="105" bestFit="1" customWidth="1"/>
    <col min="1801" max="2048" width="9.140625" style="105"/>
    <col min="2049" max="2049" width="6.5703125" style="105" bestFit="1" customWidth="1"/>
    <col min="2050" max="2050" width="19.42578125" style="105" bestFit="1" customWidth="1"/>
    <col min="2051" max="2051" width="9.140625" style="105"/>
    <col min="2052" max="2052" width="5.5703125" style="105" bestFit="1" customWidth="1"/>
    <col min="2053" max="2053" width="23.7109375" style="105" bestFit="1" customWidth="1"/>
    <col min="2054" max="2054" width="0" style="105" hidden="1" customWidth="1"/>
    <col min="2055" max="2055" width="23.5703125" style="105" customWidth="1"/>
    <col min="2056" max="2056" width="22" style="105" bestFit="1" customWidth="1"/>
    <col min="2057" max="2304" width="9.140625" style="105"/>
    <col min="2305" max="2305" width="6.5703125" style="105" bestFit="1" customWidth="1"/>
    <col min="2306" max="2306" width="19.42578125" style="105" bestFit="1" customWidth="1"/>
    <col min="2307" max="2307" width="9.140625" style="105"/>
    <col min="2308" max="2308" width="5.5703125" style="105" bestFit="1" customWidth="1"/>
    <col min="2309" max="2309" width="23.7109375" style="105" bestFit="1" customWidth="1"/>
    <col min="2310" max="2310" width="0" style="105" hidden="1" customWidth="1"/>
    <col min="2311" max="2311" width="23.5703125" style="105" customWidth="1"/>
    <col min="2312" max="2312" width="22" style="105" bestFit="1" customWidth="1"/>
    <col min="2313" max="2560" width="9.140625" style="105"/>
    <col min="2561" max="2561" width="6.5703125" style="105" bestFit="1" customWidth="1"/>
    <col min="2562" max="2562" width="19.42578125" style="105" bestFit="1" customWidth="1"/>
    <col min="2563" max="2563" width="9.140625" style="105"/>
    <col min="2564" max="2564" width="5.5703125" style="105" bestFit="1" customWidth="1"/>
    <col min="2565" max="2565" width="23.7109375" style="105" bestFit="1" customWidth="1"/>
    <col min="2566" max="2566" width="0" style="105" hidden="1" customWidth="1"/>
    <col min="2567" max="2567" width="23.5703125" style="105" customWidth="1"/>
    <col min="2568" max="2568" width="22" style="105" bestFit="1" customWidth="1"/>
    <col min="2569" max="2816" width="9.140625" style="105"/>
    <col min="2817" max="2817" width="6.5703125" style="105" bestFit="1" customWidth="1"/>
    <col min="2818" max="2818" width="19.42578125" style="105" bestFit="1" customWidth="1"/>
    <col min="2819" max="2819" width="9.140625" style="105"/>
    <col min="2820" max="2820" width="5.5703125" style="105" bestFit="1" customWidth="1"/>
    <col min="2821" max="2821" width="23.7109375" style="105" bestFit="1" customWidth="1"/>
    <col min="2822" max="2822" width="0" style="105" hidden="1" customWidth="1"/>
    <col min="2823" max="2823" width="23.5703125" style="105" customWidth="1"/>
    <col min="2824" max="2824" width="22" style="105" bestFit="1" customWidth="1"/>
    <col min="2825" max="3072" width="9.140625" style="105"/>
    <col min="3073" max="3073" width="6.5703125" style="105" bestFit="1" customWidth="1"/>
    <col min="3074" max="3074" width="19.42578125" style="105" bestFit="1" customWidth="1"/>
    <col min="3075" max="3075" width="9.140625" style="105"/>
    <col min="3076" max="3076" width="5.5703125" style="105" bestFit="1" customWidth="1"/>
    <col min="3077" max="3077" width="23.7109375" style="105" bestFit="1" customWidth="1"/>
    <col min="3078" max="3078" width="0" style="105" hidden="1" customWidth="1"/>
    <col min="3079" max="3079" width="23.5703125" style="105" customWidth="1"/>
    <col min="3080" max="3080" width="22" style="105" bestFit="1" customWidth="1"/>
    <col min="3081" max="3328" width="9.140625" style="105"/>
    <col min="3329" max="3329" width="6.5703125" style="105" bestFit="1" customWidth="1"/>
    <col min="3330" max="3330" width="19.42578125" style="105" bestFit="1" customWidth="1"/>
    <col min="3331" max="3331" width="9.140625" style="105"/>
    <col min="3332" max="3332" width="5.5703125" style="105" bestFit="1" customWidth="1"/>
    <col min="3333" max="3333" width="23.7109375" style="105" bestFit="1" customWidth="1"/>
    <col min="3334" max="3334" width="0" style="105" hidden="1" customWidth="1"/>
    <col min="3335" max="3335" width="23.5703125" style="105" customWidth="1"/>
    <col min="3336" max="3336" width="22" style="105" bestFit="1" customWidth="1"/>
    <col min="3337" max="3584" width="9.140625" style="105"/>
    <col min="3585" max="3585" width="6.5703125" style="105" bestFit="1" customWidth="1"/>
    <col min="3586" max="3586" width="19.42578125" style="105" bestFit="1" customWidth="1"/>
    <col min="3587" max="3587" width="9.140625" style="105"/>
    <col min="3588" max="3588" width="5.5703125" style="105" bestFit="1" customWidth="1"/>
    <col min="3589" max="3589" width="23.7109375" style="105" bestFit="1" customWidth="1"/>
    <col min="3590" max="3590" width="0" style="105" hidden="1" customWidth="1"/>
    <col min="3591" max="3591" width="23.5703125" style="105" customWidth="1"/>
    <col min="3592" max="3592" width="22" style="105" bestFit="1" customWidth="1"/>
    <col min="3593" max="3840" width="9.140625" style="105"/>
    <col min="3841" max="3841" width="6.5703125" style="105" bestFit="1" customWidth="1"/>
    <col min="3842" max="3842" width="19.42578125" style="105" bestFit="1" customWidth="1"/>
    <col min="3843" max="3843" width="9.140625" style="105"/>
    <col min="3844" max="3844" width="5.5703125" style="105" bestFit="1" customWidth="1"/>
    <col min="3845" max="3845" width="23.7109375" style="105" bestFit="1" customWidth="1"/>
    <col min="3846" max="3846" width="0" style="105" hidden="1" customWidth="1"/>
    <col min="3847" max="3847" width="23.5703125" style="105" customWidth="1"/>
    <col min="3848" max="3848" width="22" style="105" bestFit="1" customWidth="1"/>
    <col min="3849" max="4096" width="9.140625" style="105"/>
    <col min="4097" max="4097" width="6.5703125" style="105" bestFit="1" customWidth="1"/>
    <col min="4098" max="4098" width="19.42578125" style="105" bestFit="1" customWidth="1"/>
    <col min="4099" max="4099" width="9.140625" style="105"/>
    <col min="4100" max="4100" width="5.5703125" style="105" bestFit="1" customWidth="1"/>
    <col min="4101" max="4101" width="23.7109375" style="105" bestFit="1" customWidth="1"/>
    <col min="4102" max="4102" width="0" style="105" hidden="1" customWidth="1"/>
    <col min="4103" max="4103" width="23.5703125" style="105" customWidth="1"/>
    <col min="4104" max="4104" width="22" style="105" bestFit="1" customWidth="1"/>
    <col min="4105" max="4352" width="9.140625" style="105"/>
    <col min="4353" max="4353" width="6.5703125" style="105" bestFit="1" customWidth="1"/>
    <col min="4354" max="4354" width="19.42578125" style="105" bestFit="1" customWidth="1"/>
    <col min="4355" max="4355" width="9.140625" style="105"/>
    <col min="4356" max="4356" width="5.5703125" style="105" bestFit="1" customWidth="1"/>
    <col min="4357" max="4357" width="23.7109375" style="105" bestFit="1" customWidth="1"/>
    <col min="4358" max="4358" width="0" style="105" hidden="1" customWidth="1"/>
    <col min="4359" max="4359" width="23.5703125" style="105" customWidth="1"/>
    <col min="4360" max="4360" width="22" style="105" bestFit="1" customWidth="1"/>
    <col min="4361" max="4608" width="9.140625" style="105"/>
    <col min="4609" max="4609" width="6.5703125" style="105" bestFit="1" customWidth="1"/>
    <col min="4610" max="4610" width="19.42578125" style="105" bestFit="1" customWidth="1"/>
    <col min="4611" max="4611" width="9.140625" style="105"/>
    <col min="4612" max="4612" width="5.5703125" style="105" bestFit="1" customWidth="1"/>
    <col min="4613" max="4613" width="23.7109375" style="105" bestFit="1" customWidth="1"/>
    <col min="4614" max="4614" width="0" style="105" hidden="1" customWidth="1"/>
    <col min="4615" max="4615" width="23.5703125" style="105" customWidth="1"/>
    <col min="4616" max="4616" width="22" style="105" bestFit="1" customWidth="1"/>
    <col min="4617" max="4864" width="9.140625" style="105"/>
    <col min="4865" max="4865" width="6.5703125" style="105" bestFit="1" customWidth="1"/>
    <col min="4866" max="4866" width="19.42578125" style="105" bestFit="1" customWidth="1"/>
    <col min="4867" max="4867" width="9.140625" style="105"/>
    <col min="4868" max="4868" width="5.5703125" style="105" bestFit="1" customWidth="1"/>
    <col min="4869" max="4869" width="23.7109375" style="105" bestFit="1" customWidth="1"/>
    <col min="4870" max="4870" width="0" style="105" hidden="1" customWidth="1"/>
    <col min="4871" max="4871" width="23.5703125" style="105" customWidth="1"/>
    <col min="4872" max="4872" width="22" style="105" bestFit="1" customWidth="1"/>
    <col min="4873" max="5120" width="9.140625" style="105"/>
    <col min="5121" max="5121" width="6.5703125" style="105" bestFit="1" customWidth="1"/>
    <col min="5122" max="5122" width="19.42578125" style="105" bestFit="1" customWidth="1"/>
    <col min="5123" max="5123" width="9.140625" style="105"/>
    <col min="5124" max="5124" width="5.5703125" style="105" bestFit="1" customWidth="1"/>
    <col min="5125" max="5125" width="23.7109375" style="105" bestFit="1" customWidth="1"/>
    <col min="5126" max="5126" width="0" style="105" hidden="1" customWidth="1"/>
    <col min="5127" max="5127" width="23.5703125" style="105" customWidth="1"/>
    <col min="5128" max="5128" width="22" style="105" bestFit="1" customWidth="1"/>
    <col min="5129" max="5376" width="9.140625" style="105"/>
    <col min="5377" max="5377" width="6.5703125" style="105" bestFit="1" customWidth="1"/>
    <col min="5378" max="5378" width="19.42578125" style="105" bestFit="1" customWidth="1"/>
    <col min="5379" max="5379" width="9.140625" style="105"/>
    <col min="5380" max="5380" width="5.5703125" style="105" bestFit="1" customWidth="1"/>
    <col min="5381" max="5381" width="23.7109375" style="105" bestFit="1" customWidth="1"/>
    <col min="5382" max="5382" width="0" style="105" hidden="1" customWidth="1"/>
    <col min="5383" max="5383" width="23.5703125" style="105" customWidth="1"/>
    <col min="5384" max="5384" width="22" style="105" bestFit="1" customWidth="1"/>
    <col min="5385" max="5632" width="9.140625" style="105"/>
    <col min="5633" max="5633" width="6.5703125" style="105" bestFit="1" customWidth="1"/>
    <col min="5634" max="5634" width="19.42578125" style="105" bestFit="1" customWidth="1"/>
    <col min="5635" max="5635" width="9.140625" style="105"/>
    <col min="5636" max="5636" width="5.5703125" style="105" bestFit="1" customWidth="1"/>
    <col min="5637" max="5637" width="23.7109375" style="105" bestFit="1" customWidth="1"/>
    <col min="5638" max="5638" width="0" style="105" hidden="1" customWidth="1"/>
    <col min="5639" max="5639" width="23.5703125" style="105" customWidth="1"/>
    <col min="5640" max="5640" width="22" style="105" bestFit="1" customWidth="1"/>
    <col min="5641" max="5888" width="9.140625" style="105"/>
    <col min="5889" max="5889" width="6.5703125" style="105" bestFit="1" customWidth="1"/>
    <col min="5890" max="5890" width="19.42578125" style="105" bestFit="1" customWidth="1"/>
    <col min="5891" max="5891" width="9.140625" style="105"/>
    <col min="5892" max="5892" width="5.5703125" style="105" bestFit="1" customWidth="1"/>
    <col min="5893" max="5893" width="23.7109375" style="105" bestFit="1" customWidth="1"/>
    <col min="5894" max="5894" width="0" style="105" hidden="1" customWidth="1"/>
    <col min="5895" max="5895" width="23.5703125" style="105" customWidth="1"/>
    <col min="5896" max="5896" width="22" style="105" bestFit="1" customWidth="1"/>
    <col min="5897" max="6144" width="9.140625" style="105"/>
    <col min="6145" max="6145" width="6.5703125" style="105" bestFit="1" customWidth="1"/>
    <col min="6146" max="6146" width="19.42578125" style="105" bestFit="1" customWidth="1"/>
    <col min="6147" max="6147" width="9.140625" style="105"/>
    <col min="6148" max="6148" width="5.5703125" style="105" bestFit="1" customWidth="1"/>
    <col min="6149" max="6149" width="23.7109375" style="105" bestFit="1" customWidth="1"/>
    <col min="6150" max="6150" width="0" style="105" hidden="1" customWidth="1"/>
    <col min="6151" max="6151" width="23.5703125" style="105" customWidth="1"/>
    <col min="6152" max="6152" width="22" style="105" bestFit="1" customWidth="1"/>
    <col min="6153" max="6400" width="9.140625" style="105"/>
    <col min="6401" max="6401" width="6.5703125" style="105" bestFit="1" customWidth="1"/>
    <col min="6402" max="6402" width="19.42578125" style="105" bestFit="1" customWidth="1"/>
    <col min="6403" max="6403" width="9.140625" style="105"/>
    <col min="6404" max="6404" width="5.5703125" style="105" bestFit="1" customWidth="1"/>
    <col min="6405" max="6405" width="23.7109375" style="105" bestFit="1" customWidth="1"/>
    <col min="6406" max="6406" width="0" style="105" hidden="1" customWidth="1"/>
    <col min="6407" max="6407" width="23.5703125" style="105" customWidth="1"/>
    <col min="6408" max="6408" width="22" style="105" bestFit="1" customWidth="1"/>
    <col min="6409" max="6656" width="9.140625" style="105"/>
    <col min="6657" max="6657" width="6.5703125" style="105" bestFit="1" customWidth="1"/>
    <col min="6658" max="6658" width="19.42578125" style="105" bestFit="1" customWidth="1"/>
    <col min="6659" max="6659" width="9.140625" style="105"/>
    <col min="6660" max="6660" width="5.5703125" style="105" bestFit="1" customWidth="1"/>
    <col min="6661" max="6661" width="23.7109375" style="105" bestFit="1" customWidth="1"/>
    <col min="6662" max="6662" width="0" style="105" hidden="1" customWidth="1"/>
    <col min="6663" max="6663" width="23.5703125" style="105" customWidth="1"/>
    <col min="6664" max="6664" width="22" style="105" bestFit="1" customWidth="1"/>
    <col min="6665" max="6912" width="9.140625" style="105"/>
    <col min="6913" max="6913" width="6.5703125" style="105" bestFit="1" customWidth="1"/>
    <col min="6914" max="6914" width="19.42578125" style="105" bestFit="1" customWidth="1"/>
    <col min="6915" max="6915" width="9.140625" style="105"/>
    <col min="6916" max="6916" width="5.5703125" style="105" bestFit="1" customWidth="1"/>
    <col min="6917" max="6917" width="23.7109375" style="105" bestFit="1" customWidth="1"/>
    <col min="6918" max="6918" width="0" style="105" hidden="1" customWidth="1"/>
    <col min="6919" max="6919" width="23.5703125" style="105" customWidth="1"/>
    <col min="6920" max="6920" width="22" style="105" bestFit="1" customWidth="1"/>
    <col min="6921" max="7168" width="9.140625" style="105"/>
    <col min="7169" max="7169" width="6.5703125" style="105" bestFit="1" customWidth="1"/>
    <col min="7170" max="7170" width="19.42578125" style="105" bestFit="1" customWidth="1"/>
    <col min="7171" max="7171" width="9.140625" style="105"/>
    <col min="7172" max="7172" width="5.5703125" style="105" bestFit="1" customWidth="1"/>
    <col min="7173" max="7173" width="23.7109375" style="105" bestFit="1" customWidth="1"/>
    <col min="7174" max="7174" width="0" style="105" hidden="1" customWidth="1"/>
    <col min="7175" max="7175" width="23.5703125" style="105" customWidth="1"/>
    <col min="7176" max="7176" width="22" style="105" bestFit="1" customWidth="1"/>
    <col min="7177" max="7424" width="9.140625" style="105"/>
    <col min="7425" max="7425" width="6.5703125" style="105" bestFit="1" customWidth="1"/>
    <col min="7426" max="7426" width="19.42578125" style="105" bestFit="1" customWidth="1"/>
    <col min="7427" max="7427" width="9.140625" style="105"/>
    <col min="7428" max="7428" width="5.5703125" style="105" bestFit="1" customWidth="1"/>
    <col min="7429" max="7429" width="23.7109375" style="105" bestFit="1" customWidth="1"/>
    <col min="7430" max="7430" width="0" style="105" hidden="1" customWidth="1"/>
    <col min="7431" max="7431" width="23.5703125" style="105" customWidth="1"/>
    <col min="7432" max="7432" width="22" style="105" bestFit="1" customWidth="1"/>
    <col min="7433" max="7680" width="9.140625" style="105"/>
    <col min="7681" max="7681" width="6.5703125" style="105" bestFit="1" customWidth="1"/>
    <col min="7682" max="7682" width="19.42578125" style="105" bestFit="1" customWidth="1"/>
    <col min="7683" max="7683" width="9.140625" style="105"/>
    <col min="7684" max="7684" width="5.5703125" style="105" bestFit="1" customWidth="1"/>
    <col min="7685" max="7685" width="23.7109375" style="105" bestFit="1" customWidth="1"/>
    <col min="7686" max="7686" width="0" style="105" hidden="1" customWidth="1"/>
    <col min="7687" max="7687" width="23.5703125" style="105" customWidth="1"/>
    <col min="7688" max="7688" width="22" style="105" bestFit="1" customWidth="1"/>
    <col min="7689" max="7936" width="9.140625" style="105"/>
    <col min="7937" max="7937" width="6.5703125" style="105" bestFit="1" customWidth="1"/>
    <col min="7938" max="7938" width="19.42578125" style="105" bestFit="1" customWidth="1"/>
    <col min="7939" max="7939" width="9.140625" style="105"/>
    <col min="7940" max="7940" width="5.5703125" style="105" bestFit="1" customWidth="1"/>
    <col min="7941" max="7941" width="23.7109375" style="105" bestFit="1" customWidth="1"/>
    <col min="7942" max="7942" width="0" style="105" hidden="1" customWidth="1"/>
    <col min="7943" max="7943" width="23.5703125" style="105" customWidth="1"/>
    <col min="7944" max="7944" width="22" style="105" bestFit="1" customWidth="1"/>
    <col min="7945" max="8192" width="9.140625" style="105"/>
    <col min="8193" max="8193" width="6.5703125" style="105" bestFit="1" customWidth="1"/>
    <col min="8194" max="8194" width="19.42578125" style="105" bestFit="1" customWidth="1"/>
    <col min="8195" max="8195" width="9.140625" style="105"/>
    <col min="8196" max="8196" width="5.5703125" style="105" bestFit="1" customWidth="1"/>
    <col min="8197" max="8197" width="23.7109375" style="105" bestFit="1" customWidth="1"/>
    <col min="8198" max="8198" width="0" style="105" hidden="1" customWidth="1"/>
    <col min="8199" max="8199" width="23.5703125" style="105" customWidth="1"/>
    <col min="8200" max="8200" width="22" style="105" bestFit="1" customWidth="1"/>
    <col min="8201" max="8448" width="9.140625" style="105"/>
    <col min="8449" max="8449" width="6.5703125" style="105" bestFit="1" customWidth="1"/>
    <col min="8450" max="8450" width="19.42578125" style="105" bestFit="1" customWidth="1"/>
    <col min="8451" max="8451" width="9.140625" style="105"/>
    <col min="8452" max="8452" width="5.5703125" style="105" bestFit="1" customWidth="1"/>
    <col min="8453" max="8453" width="23.7109375" style="105" bestFit="1" customWidth="1"/>
    <col min="8454" max="8454" width="0" style="105" hidden="1" customWidth="1"/>
    <col min="8455" max="8455" width="23.5703125" style="105" customWidth="1"/>
    <col min="8456" max="8456" width="22" style="105" bestFit="1" customWidth="1"/>
    <col min="8457" max="8704" width="9.140625" style="105"/>
    <col min="8705" max="8705" width="6.5703125" style="105" bestFit="1" customWidth="1"/>
    <col min="8706" max="8706" width="19.42578125" style="105" bestFit="1" customWidth="1"/>
    <col min="8707" max="8707" width="9.140625" style="105"/>
    <col min="8708" max="8708" width="5.5703125" style="105" bestFit="1" customWidth="1"/>
    <col min="8709" max="8709" width="23.7109375" style="105" bestFit="1" customWidth="1"/>
    <col min="8710" max="8710" width="0" style="105" hidden="1" customWidth="1"/>
    <col min="8711" max="8711" width="23.5703125" style="105" customWidth="1"/>
    <col min="8712" max="8712" width="22" style="105" bestFit="1" customWidth="1"/>
    <col min="8713" max="8960" width="9.140625" style="105"/>
    <col min="8961" max="8961" width="6.5703125" style="105" bestFit="1" customWidth="1"/>
    <col min="8962" max="8962" width="19.42578125" style="105" bestFit="1" customWidth="1"/>
    <col min="8963" max="8963" width="9.140625" style="105"/>
    <col min="8964" max="8964" width="5.5703125" style="105" bestFit="1" customWidth="1"/>
    <col min="8965" max="8965" width="23.7109375" style="105" bestFit="1" customWidth="1"/>
    <col min="8966" max="8966" width="0" style="105" hidden="1" customWidth="1"/>
    <col min="8967" max="8967" width="23.5703125" style="105" customWidth="1"/>
    <col min="8968" max="8968" width="22" style="105" bestFit="1" customWidth="1"/>
    <col min="8969" max="9216" width="9.140625" style="105"/>
    <col min="9217" max="9217" width="6.5703125" style="105" bestFit="1" customWidth="1"/>
    <col min="9218" max="9218" width="19.42578125" style="105" bestFit="1" customWidth="1"/>
    <col min="9219" max="9219" width="9.140625" style="105"/>
    <col min="9220" max="9220" width="5.5703125" style="105" bestFit="1" customWidth="1"/>
    <col min="9221" max="9221" width="23.7109375" style="105" bestFit="1" customWidth="1"/>
    <col min="9222" max="9222" width="0" style="105" hidden="1" customWidth="1"/>
    <col min="9223" max="9223" width="23.5703125" style="105" customWidth="1"/>
    <col min="9224" max="9224" width="22" style="105" bestFit="1" customWidth="1"/>
    <col min="9225" max="9472" width="9.140625" style="105"/>
    <col min="9473" max="9473" width="6.5703125" style="105" bestFit="1" customWidth="1"/>
    <col min="9474" max="9474" width="19.42578125" style="105" bestFit="1" customWidth="1"/>
    <col min="9475" max="9475" width="9.140625" style="105"/>
    <col min="9476" max="9476" width="5.5703125" style="105" bestFit="1" customWidth="1"/>
    <col min="9477" max="9477" width="23.7109375" style="105" bestFit="1" customWidth="1"/>
    <col min="9478" max="9478" width="0" style="105" hidden="1" customWidth="1"/>
    <col min="9479" max="9479" width="23.5703125" style="105" customWidth="1"/>
    <col min="9480" max="9480" width="22" style="105" bestFit="1" customWidth="1"/>
    <col min="9481" max="9728" width="9.140625" style="105"/>
    <col min="9729" max="9729" width="6.5703125" style="105" bestFit="1" customWidth="1"/>
    <col min="9730" max="9730" width="19.42578125" style="105" bestFit="1" customWidth="1"/>
    <col min="9731" max="9731" width="9.140625" style="105"/>
    <col min="9732" max="9732" width="5.5703125" style="105" bestFit="1" customWidth="1"/>
    <col min="9733" max="9733" width="23.7109375" style="105" bestFit="1" customWidth="1"/>
    <col min="9734" max="9734" width="0" style="105" hidden="1" customWidth="1"/>
    <col min="9735" max="9735" width="23.5703125" style="105" customWidth="1"/>
    <col min="9736" max="9736" width="22" style="105" bestFit="1" customWidth="1"/>
    <col min="9737" max="9984" width="9.140625" style="105"/>
    <col min="9985" max="9985" width="6.5703125" style="105" bestFit="1" customWidth="1"/>
    <col min="9986" max="9986" width="19.42578125" style="105" bestFit="1" customWidth="1"/>
    <col min="9987" max="9987" width="9.140625" style="105"/>
    <col min="9988" max="9988" width="5.5703125" style="105" bestFit="1" customWidth="1"/>
    <col min="9989" max="9989" width="23.7109375" style="105" bestFit="1" customWidth="1"/>
    <col min="9990" max="9990" width="0" style="105" hidden="1" customWidth="1"/>
    <col min="9991" max="9991" width="23.5703125" style="105" customWidth="1"/>
    <col min="9992" max="9992" width="22" style="105" bestFit="1" customWidth="1"/>
    <col min="9993" max="10240" width="9.140625" style="105"/>
    <col min="10241" max="10241" width="6.5703125" style="105" bestFit="1" customWidth="1"/>
    <col min="10242" max="10242" width="19.42578125" style="105" bestFit="1" customWidth="1"/>
    <col min="10243" max="10243" width="9.140625" style="105"/>
    <col min="10244" max="10244" width="5.5703125" style="105" bestFit="1" customWidth="1"/>
    <col min="10245" max="10245" width="23.7109375" style="105" bestFit="1" customWidth="1"/>
    <col min="10246" max="10246" width="0" style="105" hidden="1" customWidth="1"/>
    <col min="10247" max="10247" width="23.5703125" style="105" customWidth="1"/>
    <col min="10248" max="10248" width="22" style="105" bestFit="1" customWidth="1"/>
    <col min="10249" max="10496" width="9.140625" style="105"/>
    <col min="10497" max="10497" width="6.5703125" style="105" bestFit="1" customWidth="1"/>
    <col min="10498" max="10498" width="19.42578125" style="105" bestFit="1" customWidth="1"/>
    <col min="10499" max="10499" width="9.140625" style="105"/>
    <col min="10500" max="10500" width="5.5703125" style="105" bestFit="1" customWidth="1"/>
    <col min="10501" max="10501" width="23.7109375" style="105" bestFit="1" customWidth="1"/>
    <col min="10502" max="10502" width="0" style="105" hidden="1" customWidth="1"/>
    <col min="10503" max="10503" width="23.5703125" style="105" customWidth="1"/>
    <col min="10504" max="10504" width="22" style="105" bestFit="1" customWidth="1"/>
    <col min="10505" max="10752" width="9.140625" style="105"/>
    <col min="10753" max="10753" width="6.5703125" style="105" bestFit="1" customWidth="1"/>
    <col min="10754" max="10754" width="19.42578125" style="105" bestFit="1" customWidth="1"/>
    <col min="10755" max="10755" width="9.140625" style="105"/>
    <col min="10756" max="10756" width="5.5703125" style="105" bestFit="1" customWidth="1"/>
    <col min="10757" max="10757" width="23.7109375" style="105" bestFit="1" customWidth="1"/>
    <col min="10758" max="10758" width="0" style="105" hidden="1" customWidth="1"/>
    <col min="10759" max="10759" width="23.5703125" style="105" customWidth="1"/>
    <col min="10760" max="10760" width="22" style="105" bestFit="1" customWidth="1"/>
    <col min="10761" max="11008" width="9.140625" style="105"/>
    <col min="11009" max="11009" width="6.5703125" style="105" bestFit="1" customWidth="1"/>
    <col min="11010" max="11010" width="19.42578125" style="105" bestFit="1" customWidth="1"/>
    <col min="11011" max="11011" width="9.140625" style="105"/>
    <col min="11012" max="11012" width="5.5703125" style="105" bestFit="1" customWidth="1"/>
    <col min="11013" max="11013" width="23.7109375" style="105" bestFit="1" customWidth="1"/>
    <col min="11014" max="11014" width="0" style="105" hidden="1" customWidth="1"/>
    <col min="11015" max="11015" width="23.5703125" style="105" customWidth="1"/>
    <col min="11016" max="11016" width="22" style="105" bestFit="1" customWidth="1"/>
    <col min="11017" max="11264" width="9.140625" style="105"/>
    <col min="11265" max="11265" width="6.5703125" style="105" bestFit="1" customWidth="1"/>
    <col min="11266" max="11266" width="19.42578125" style="105" bestFit="1" customWidth="1"/>
    <col min="11267" max="11267" width="9.140625" style="105"/>
    <col min="11268" max="11268" width="5.5703125" style="105" bestFit="1" customWidth="1"/>
    <col min="11269" max="11269" width="23.7109375" style="105" bestFit="1" customWidth="1"/>
    <col min="11270" max="11270" width="0" style="105" hidden="1" customWidth="1"/>
    <col min="11271" max="11271" width="23.5703125" style="105" customWidth="1"/>
    <col min="11272" max="11272" width="22" style="105" bestFit="1" customWidth="1"/>
    <col min="11273" max="11520" width="9.140625" style="105"/>
    <col min="11521" max="11521" width="6.5703125" style="105" bestFit="1" customWidth="1"/>
    <col min="11522" max="11522" width="19.42578125" style="105" bestFit="1" customWidth="1"/>
    <col min="11523" max="11523" width="9.140625" style="105"/>
    <col min="11524" max="11524" width="5.5703125" style="105" bestFit="1" customWidth="1"/>
    <col min="11525" max="11525" width="23.7109375" style="105" bestFit="1" customWidth="1"/>
    <col min="11526" max="11526" width="0" style="105" hidden="1" customWidth="1"/>
    <col min="11527" max="11527" width="23.5703125" style="105" customWidth="1"/>
    <col min="11528" max="11528" width="22" style="105" bestFit="1" customWidth="1"/>
    <col min="11529" max="11776" width="9.140625" style="105"/>
    <col min="11777" max="11777" width="6.5703125" style="105" bestFit="1" customWidth="1"/>
    <col min="11778" max="11778" width="19.42578125" style="105" bestFit="1" customWidth="1"/>
    <col min="11779" max="11779" width="9.140625" style="105"/>
    <col min="11780" max="11780" width="5.5703125" style="105" bestFit="1" customWidth="1"/>
    <col min="11781" max="11781" width="23.7109375" style="105" bestFit="1" customWidth="1"/>
    <col min="11782" max="11782" width="0" style="105" hidden="1" customWidth="1"/>
    <col min="11783" max="11783" width="23.5703125" style="105" customWidth="1"/>
    <col min="11784" max="11784" width="22" style="105" bestFit="1" customWidth="1"/>
    <col min="11785" max="12032" width="9.140625" style="105"/>
    <col min="12033" max="12033" width="6.5703125" style="105" bestFit="1" customWidth="1"/>
    <col min="12034" max="12034" width="19.42578125" style="105" bestFit="1" customWidth="1"/>
    <col min="12035" max="12035" width="9.140625" style="105"/>
    <col min="12036" max="12036" width="5.5703125" style="105" bestFit="1" customWidth="1"/>
    <col min="12037" max="12037" width="23.7109375" style="105" bestFit="1" customWidth="1"/>
    <col min="12038" max="12038" width="0" style="105" hidden="1" customWidth="1"/>
    <col min="12039" max="12039" width="23.5703125" style="105" customWidth="1"/>
    <col min="12040" max="12040" width="22" style="105" bestFit="1" customWidth="1"/>
    <col min="12041" max="12288" width="9.140625" style="105"/>
    <col min="12289" max="12289" width="6.5703125" style="105" bestFit="1" customWidth="1"/>
    <col min="12290" max="12290" width="19.42578125" style="105" bestFit="1" customWidth="1"/>
    <col min="12291" max="12291" width="9.140625" style="105"/>
    <col min="12292" max="12292" width="5.5703125" style="105" bestFit="1" customWidth="1"/>
    <col min="12293" max="12293" width="23.7109375" style="105" bestFit="1" customWidth="1"/>
    <col min="12294" max="12294" width="0" style="105" hidden="1" customWidth="1"/>
    <col min="12295" max="12295" width="23.5703125" style="105" customWidth="1"/>
    <col min="12296" max="12296" width="22" style="105" bestFit="1" customWidth="1"/>
    <col min="12297" max="12544" width="9.140625" style="105"/>
    <col min="12545" max="12545" width="6.5703125" style="105" bestFit="1" customWidth="1"/>
    <col min="12546" max="12546" width="19.42578125" style="105" bestFit="1" customWidth="1"/>
    <col min="12547" max="12547" width="9.140625" style="105"/>
    <col min="12548" max="12548" width="5.5703125" style="105" bestFit="1" customWidth="1"/>
    <col min="12549" max="12549" width="23.7109375" style="105" bestFit="1" customWidth="1"/>
    <col min="12550" max="12550" width="0" style="105" hidden="1" customWidth="1"/>
    <col min="12551" max="12551" width="23.5703125" style="105" customWidth="1"/>
    <col min="12552" max="12552" width="22" style="105" bestFit="1" customWidth="1"/>
    <col min="12553" max="12800" width="9.140625" style="105"/>
    <col min="12801" max="12801" width="6.5703125" style="105" bestFit="1" customWidth="1"/>
    <col min="12802" max="12802" width="19.42578125" style="105" bestFit="1" customWidth="1"/>
    <col min="12803" max="12803" width="9.140625" style="105"/>
    <col min="12804" max="12804" width="5.5703125" style="105" bestFit="1" customWidth="1"/>
    <col min="12805" max="12805" width="23.7109375" style="105" bestFit="1" customWidth="1"/>
    <col min="12806" max="12806" width="0" style="105" hidden="1" customWidth="1"/>
    <col min="12807" max="12807" width="23.5703125" style="105" customWidth="1"/>
    <col min="12808" max="12808" width="22" style="105" bestFit="1" customWidth="1"/>
    <col min="12809" max="13056" width="9.140625" style="105"/>
    <col min="13057" max="13057" width="6.5703125" style="105" bestFit="1" customWidth="1"/>
    <col min="13058" max="13058" width="19.42578125" style="105" bestFit="1" customWidth="1"/>
    <col min="13059" max="13059" width="9.140625" style="105"/>
    <col min="13060" max="13060" width="5.5703125" style="105" bestFit="1" customWidth="1"/>
    <col min="13061" max="13061" width="23.7109375" style="105" bestFit="1" customWidth="1"/>
    <col min="13062" max="13062" width="0" style="105" hidden="1" customWidth="1"/>
    <col min="13063" max="13063" width="23.5703125" style="105" customWidth="1"/>
    <col min="13064" max="13064" width="22" style="105" bestFit="1" customWidth="1"/>
    <col min="13065" max="13312" width="9.140625" style="105"/>
    <col min="13313" max="13313" width="6.5703125" style="105" bestFit="1" customWidth="1"/>
    <col min="13314" max="13314" width="19.42578125" style="105" bestFit="1" customWidth="1"/>
    <col min="13315" max="13315" width="9.140625" style="105"/>
    <col min="13316" max="13316" width="5.5703125" style="105" bestFit="1" customWidth="1"/>
    <col min="13317" max="13317" width="23.7109375" style="105" bestFit="1" customWidth="1"/>
    <col min="13318" max="13318" width="0" style="105" hidden="1" customWidth="1"/>
    <col min="13319" max="13319" width="23.5703125" style="105" customWidth="1"/>
    <col min="13320" max="13320" width="22" style="105" bestFit="1" customWidth="1"/>
    <col min="13321" max="13568" width="9.140625" style="105"/>
    <col min="13569" max="13569" width="6.5703125" style="105" bestFit="1" customWidth="1"/>
    <col min="13570" max="13570" width="19.42578125" style="105" bestFit="1" customWidth="1"/>
    <col min="13571" max="13571" width="9.140625" style="105"/>
    <col min="13572" max="13572" width="5.5703125" style="105" bestFit="1" customWidth="1"/>
    <col min="13573" max="13573" width="23.7109375" style="105" bestFit="1" customWidth="1"/>
    <col min="13574" max="13574" width="0" style="105" hidden="1" customWidth="1"/>
    <col min="13575" max="13575" width="23.5703125" style="105" customWidth="1"/>
    <col min="13576" max="13576" width="22" style="105" bestFit="1" customWidth="1"/>
    <col min="13577" max="13824" width="9.140625" style="105"/>
    <col min="13825" max="13825" width="6.5703125" style="105" bestFit="1" customWidth="1"/>
    <col min="13826" max="13826" width="19.42578125" style="105" bestFit="1" customWidth="1"/>
    <col min="13827" max="13827" width="9.140625" style="105"/>
    <col min="13828" max="13828" width="5.5703125" style="105" bestFit="1" customWidth="1"/>
    <col min="13829" max="13829" width="23.7109375" style="105" bestFit="1" customWidth="1"/>
    <col min="13830" max="13830" width="0" style="105" hidden="1" customWidth="1"/>
    <col min="13831" max="13831" width="23.5703125" style="105" customWidth="1"/>
    <col min="13832" max="13832" width="22" style="105" bestFit="1" customWidth="1"/>
    <col min="13833" max="14080" width="9.140625" style="105"/>
    <col min="14081" max="14081" width="6.5703125" style="105" bestFit="1" customWidth="1"/>
    <col min="14082" max="14082" width="19.42578125" style="105" bestFit="1" customWidth="1"/>
    <col min="14083" max="14083" width="9.140625" style="105"/>
    <col min="14084" max="14084" width="5.5703125" style="105" bestFit="1" customWidth="1"/>
    <col min="14085" max="14085" width="23.7109375" style="105" bestFit="1" customWidth="1"/>
    <col min="14086" max="14086" width="0" style="105" hidden="1" customWidth="1"/>
    <col min="14087" max="14087" width="23.5703125" style="105" customWidth="1"/>
    <col min="14088" max="14088" width="22" style="105" bestFit="1" customWidth="1"/>
    <col min="14089" max="14336" width="9.140625" style="105"/>
    <col min="14337" max="14337" width="6.5703125" style="105" bestFit="1" customWidth="1"/>
    <col min="14338" max="14338" width="19.42578125" style="105" bestFit="1" customWidth="1"/>
    <col min="14339" max="14339" width="9.140625" style="105"/>
    <col min="14340" max="14340" width="5.5703125" style="105" bestFit="1" customWidth="1"/>
    <col min="14341" max="14341" width="23.7109375" style="105" bestFit="1" customWidth="1"/>
    <col min="14342" max="14342" width="0" style="105" hidden="1" customWidth="1"/>
    <col min="14343" max="14343" width="23.5703125" style="105" customWidth="1"/>
    <col min="14344" max="14344" width="22" style="105" bestFit="1" customWidth="1"/>
    <col min="14345" max="14592" width="9.140625" style="105"/>
    <col min="14593" max="14593" width="6.5703125" style="105" bestFit="1" customWidth="1"/>
    <col min="14594" max="14594" width="19.42578125" style="105" bestFit="1" customWidth="1"/>
    <col min="14595" max="14595" width="9.140625" style="105"/>
    <col min="14596" max="14596" width="5.5703125" style="105" bestFit="1" customWidth="1"/>
    <col min="14597" max="14597" width="23.7109375" style="105" bestFit="1" customWidth="1"/>
    <col min="14598" max="14598" width="0" style="105" hidden="1" customWidth="1"/>
    <col min="14599" max="14599" width="23.5703125" style="105" customWidth="1"/>
    <col min="14600" max="14600" width="22" style="105" bestFit="1" customWidth="1"/>
    <col min="14601" max="14848" width="9.140625" style="105"/>
    <col min="14849" max="14849" width="6.5703125" style="105" bestFit="1" customWidth="1"/>
    <col min="14850" max="14850" width="19.42578125" style="105" bestFit="1" customWidth="1"/>
    <col min="14851" max="14851" width="9.140625" style="105"/>
    <col min="14852" max="14852" width="5.5703125" style="105" bestFit="1" customWidth="1"/>
    <col min="14853" max="14853" width="23.7109375" style="105" bestFit="1" customWidth="1"/>
    <col min="14854" max="14854" width="0" style="105" hidden="1" customWidth="1"/>
    <col min="14855" max="14855" width="23.5703125" style="105" customWidth="1"/>
    <col min="14856" max="14856" width="22" style="105" bestFit="1" customWidth="1"/>
    <col min="14857" max="15104" width="9.140625" style="105"/>
    <col min="15105" max="15105" width="6.5703125" style="105" bestFit="1" customWidth="1"/>
    <col min="15106" max="15106" width="19.42578125" style="105" bestFit="1" customWidth="1"/>
    <col min="15107" max="15107" width="9.140625" style="105"/>
    <col min="15108" max="15108" width="5.5703125" style="105" bestFit="1" customWidth="1"/>
    <col min="15109" max="15109" width="23.7109375" style="105" bestFit="1" customWidth="1"/>
    <col min="15110" max="15110" width="0" style="105" hidden="1" customWidth="1"/>
    <col min="15111" max="15111" width="23.5703125" style="105" customWidth="1"/>
    <col min="15112" max="15112" width="22" style="105" bestFit="1" customWidth="1"/>
    <col min="15113" max="15360" width="9.140625" style="105"/>
    <col min="15361" max="15361" width="6.5703125" style="105" bestFit="1" customWidth="1"/>
    <col min="15362" max="15362" width="19.42578125" style="105" bestFit="1" customWidth="1"/>
    <col min="15363" max="15363" width="9.140625" style="105"/>
    <col min="15364" max="15364" width="5.5703125" style="105" bestFit="1" customWidth="1"/>
    <col min="15365" max="15365" width="23.7109375" style="105" bestFit="1" customWidth="1"/>
    <col min="15366" max="15366" width="0" style="105" hidden="1" customWidth="1"/>
    <col min="15367" max="15367" width="23.5703125" style="105" customWidth="1"/>
    <col min="15368" max="15368" width="22" style="105" bestFit="1" customWidth="1"/>
    <col min="15369" max="15616" width="9.140625" style="105"/>
    <col min="15617" max="15617" width="6.5703125" style="105" bestFit="1" customWidth="1"/>
    <col min="15618" max="15618" width="19.42578125" style="105" bestFit="1" customWidth="1"/>
    <col min="15619" max="15619" width="9.140625" style="105"/>
    <col min="15620" max="15620" width="5.5703125" style="105" bestFit="1" customWidth="1"/>
    <col min="15621" max="15621" width="23.7109375" style="105" bestFit="1" customWidth="1"/>
    <col min="15622" max="15622" width="0" style="105" hidden="1" customWidth="1"/>
    <col min="15623" max="15623" width="23.5703125" style="105" customWidth="1"/>
    <col min="15624" max="15624" width="22" style="105" bestFit="1" customWidth="1"/>
    <col min="15625" max="15872" width="9.140625" style="105"/>
    <col min="15873" max="15873" width="6.5703125" style="105" bestFit="1" customWidth="1"/>
    <col min="15874" max="15874" width="19.42578125" style="105" bestFit="1" customWidth="1"/>
    <col min="15875" max="15875" width="9.140625" style="105"/>
    <col min="15876" max="15876" width="5.5703125" style="105" bestFit="1" customWidth="1"/>
    <col min="15877" max="15877" width="23.7109375" style="105" bestFit="1" customWidth="1"/>
    <col min="15878" max="15878" width="0" style="105" hidden="1" customWidth="1"/>
    <col min="15879" max="15879" width="23.5703125" style="105" customWidth="1"/>
    <col min="15880" max="15880" width="22" style="105" bestFit="1" customWidth="1"/>
    <col min="15881" max="16128" width="9.140625" style="105"/>
    <col min="16129" max="16129" width="6.5703125" style="105" bestFit="1" customWidth="1"/>
    <col min="16130" max="16130" width="19.42578125" style="105" bestFit="1" customWidth="1"/>
    <col min="16131" max="16131" width="9.140625" style="105"/>
    <col min="16132" max="16132" width="5.5703125" style="105" bestFit="1" customWidth="1"/>
    <col min="16133" max="16133" width="23.7109375" style="105" bestFit="1" customWidth="1"/>
    <col min="16134" max="16134" width="0" style="105" hidden="1" customWidth="1"/>
    <col min="16135" max="16135" width="23.5703125" style="105" customWidth="1"/>
    <col min="16136" max="16136" width="22" style="105" bestFit="1" customWidth="1"/>
    <col min="16137" max="16384" width="9.140625" style="105"/>
  </cols>
  <sheetData>
    <row r="4" spans="4:7">
      <c r="D4" s="158" t="s">
        <v>191</v>
      </c>
      <c r="E4" s="158" t="s">
        <v>206</v>
      </c>
      <c r="F4" s="158" t="s">
        <v>207</v>
      </c>
      <c r="G4" s="158" t="s">
        <v>208</v>
      </c>
    </row>
    <row r="5" spans="4:7">
      <c r="D5" s="158">
        <v>1</v>
      </c>
      <c r="E5" s="159">
        <v>264293</v>
      </c>
      <c r="F5" s="159">
        <f>E5/10000</f>
        <v>26.429300000000001</v>
      </c>
      <c r="G5" s="160">
        <f>E5/(1000*1000)</f>
        <v>0.264293</v>
      </c>
    </row>
    <row r="6" spans="4:7">
      <c r="D6" s="158">
        <v>2</v>
      </c>
      <c r="E6" s="159">
        <v>173808</v>
      </c>
      <c r="F6" s="159">
        <f>E6/10000</f>
        <v>17.380800000000001</v>
      </c>
      <c r="G6" s="160">
        <f>E6/(1000*1000)</f>
        <v>0.17380799999999999</v>
      </c>
    </row>
    <row r="11" spans="4:7">
      <c r="G11" s="105">
        <f>1232*7.5</f>
        <v>9240</v>
      </c>
    </row>
    <row r="12" spans="4:7">
      <c r="G12" s="105">
        <f>G11-G13</f>
        <v>2700</v>
      </c>
    </row>
    <row r="13" spans="4:7">
      <c r="G13" s="105">
        <v>6540</v>
      </c>
    </row>
    <row r="14" spans="4:7">
      <c r="G14" s="105">
        <f>G12/1232</f>
        <v>2.1915584415584415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showGridLines="0" view="pageBreakPreview" zoomScale="145" zoomScaleSheetLayoutView="145" workbookViewId="0">
      <pane ySplit="3" topLeftCell="A4" activePane="bottomLeft" state="frozen"/>
      <selection activeCell="F9" sqref="F9"/>
      <selection pane="bottomLeft" activeCell="F9" sqref="F9"/>
    </sheetView>
  </sheetViews>
  <sheetFormatPr defaultRowHeight="12.75"/>
  <cols>
    <col min="1" max="1" width="2.7109375" style="33" customWidth="1"/>
    <col min="2" max="2" width="1.5703125" style="33" bestFit="1" customWidth="1"/>
    <col min="3" max="3" width="4.28515625" style="33" bestFit="1" customWidth="1"/>
    <col min="4" max="4" width="2.85546875" style="33" bestFit="1" customWidth="1"/>
    <col min="5" max="5" width="1.5703125" style="33" bestFit="1" customWidth="1"/>
    <col min="6" max="6" width="4.28515625" style="33" bestFit="1" customWidth="1"/>
    <col min="7" max="7" width="37.28515625" style="33" customWidth="1"/>
    <col min="8" max="8" width="4.7109375" style="33" bestFit="1" customWidth="1"/>
    <col min="9" max="9" width="14" style="33" customWidth="1"/>
    <col min="10" max="10" width="17.7109375" style="33" bestFit="1" customWidth="1"/>
    <col min="11" max="11" width="11.5703125" style="33" bestFit="1" customWidth="1"/>
    <col min="12" max="12" width="14" style="33" customWidth="1"/>
    <col min="13" max="13" width="17.5703125" style="33" customWidth="1"/>
    <col min="14" max="14" width="9.140625" style="33"/>
    <col min="15" max="15" width="3" style="33" bestFit="1" customWidth="1"/>
    <col min="16" max="16" width="1.85546875" style="33" bestFit="1" customWidth="1"/>
    <col min="17" max="17" width="10.42578125" style="33" bestFit="1" customWidth="1"/>
    <col min="18" max="258" width="9.140625" style="33"/>
    <col min="259" max="264" width="5.5703125" style="33" customWidth="1"/>
    <col min="265" max="265" width="12.7109375" style="33" customWidth="1"/>
    <col min="266" max="266" width="15.42578125" style="33" bestFit="1" customWidth="1"/>
    <col min="267" max="269" width="12.7109375" style="33" customWidth="1"/>
    <col min="270" max="514" width="9.140625" style="33"/>
    <col min="515" max="520" width="5.5703125" style="33" customWidth="1"/>
    <col min="521" max="521" width="12.7109375" style="33" customWidth="1"/>
    <col min="522" max="522" width="15.42578125" style="33" bestFit="1" customWidth="1"/>
    <col min="523" max="525" width="12.7109375" style="33" customWidth="1"/>
    <col min="526" max="770" width="9.140625" style="33"/>
    <col min="771" max="776" width="5.5703125" style="33" customWidth="1"/>
    <col min="777" max="777" width="12.7109375" style="33" customWidth="1"/>
    <col min="778" max="778" width="15.42578125" style="33" bestFit="1" customWidth="1"/>
    <col min="779" max="781" width="12.7109375" style="33" customWidth="1"/>
    <col min="782" max="1026" width="9.140625" style="33"/>
    <col min="1027" max="1032" width="5.5703125" style="33" customWidth="1"/>
    <col min="1033" max="1033" width="12.7109375" style="33" customWidth="1"/>
    <col min="1034" max="1034" width="15.42578125" style="33" bestFit="1" customWidth="1"/>
    <col min="1035" max="1037" width="12.7109375" style="33" customWidth="1"/>
    <col min="1038" max="1282" width="9.140625" style="33"/>
    <col min="1283" max="1288" width="5.5703125" style="33" customWidth="1"/>
    <col min="1289" max="1289" width="12.7109375" style="33" customWidth="1"/>
    <col min="1290" max="1290" width="15.42578125" style="33" bestFit="1" customWidth="1"/>
    <col min="1291" max="1293" width="12.7109375" style="33" customWidth="1"/>
    <col min="1294" max="1538" width="9.140625" style="33"/>
    <col min="1539" max="1544" width="5.5703125" style="33" customWidth="1"/>
    <col min="1545" max="1545" width="12.7109375" style="33" customWidth="1"/>
    <col min="1546" max="1546" width="15.42578125" style="33" bestFit="1" customWidth="1"/>
    <col min="1547" max="1549" width="12.7109375" style="33" customWidth="1"/>
    <col min="1550" max="1794" width="9.140625" style="33"/>
    <col min="1795" max="1800" width="5.5703125" style="33" customWidth="1"/>
    <col min="1801" max="1801" width="12.7109375" style="33" customWidth="1"/>
    <col min="1802" max="1802" width="15.42578125" style="33" bestFit="1" customWidth="1"/>
    <col min="1803" max="1805" width="12.7109375" style="33" customWidth="1"/>
    <col min="1806" max="2050" width="9.140625" style="33"/>
    <col min="2051" max="2056" width="5.5703125" style="33" customWidth="1"/>
    <col min="2057" max="2057" width="12.7109375" style="33" customWidth="1"/>
    <col min="2058" max="2058" width="15.42578125" style="33" bestFit="1" customWidth="1"/>
    <col min="2059" max="2061" width="12.7109375" style="33" customWidth="1"/>
    <col min="2062" max="2306" width="9.140625" style="33"/>
    <col min="2307" max="2312" width="5.5703125" style="33" customWidth="1"/>
    <col min="2313" max="2313" width="12.7109375" style="33" customWidth="1"/>
    <col min="2314" max="2314" width="15.42578125" style="33" bestFit="1" customWidth="1"/>
    <col min="2315" max="2317" width="12.7109375" style="33" customWidth="1"/>
    <col min="2318" max="2562" width="9.140625" style="33"/>
    <col min="2563" max="2568" width="5.5703125" style="33" customWidth="1"/>
    <col min="2569" max="2569" width="12.7109375" style="33" customWidth="1"/>
    <col min="2570" max="2570" width="15.42578125" style="33" bestFit="1" customWidth="1"/>
    <col min="2571" max="2573" width="12.7109375" style="33" customWidth="1"/>
    <col min="2574" max="2818" width="9.140625" style="33"/>
    <col min="2819" max="2824" width="5.5703125" style="33" customWidth="1"/>
    <col min="2825" max="2825" width="12.7109375" style="33" customWidth="1"/>
    <col min="2826" max="2826" width="15.42578125" style="33" bestFit="1" customWidth="1"/>
    <col min="2827" max="2829" width="12.7109375" style="33" customWidth="1"/>
    <col min="2830" max="3074" width="9.140625" style="33"/>
    <col min="3075" max="3080" width="5.5703125" style="33" customWidth="1"/>
    <col min="3081" max="3081" width="12.7109375" style="33" customWidth="1"/>
    <col min="3082" max="3082" width="15.42578125" style="33" bestFit="1" customWidth="1"/>
    <col min="3083" max="3085" width="12.7109375" style="33" customWidth="1"/>
    <col min="3086" max="3330" width="9.140625" style="33"/>
    <col min="3331" max="3336" width="5.5703125" style="33" customWidth="1"/>
    <col min="3337" max="3337" width="12.7109375" style="33" customWidth="1"/>
    <col min="3338" max="3338" width="15.42578125" style="33" bestFit="1" customWidth="1"/>
    <col min="3339" max="3341" width="12.7109375" style="33" customWidth="1"/>
    <col min="3342" max="3586" width="9.140625" style="33"/>
    <col min="3587" max="3592" width="5.5703125" style="33" customWidth="1"/>
    <col min="3593" max="3593" width="12.7109375" style="33" customWidth="1"/>
    <col min="3594" max="3594" width="15.42578125" style="33" bestFit="1" customWidth="1"/>
    <col min="3595" max="3597" width="12.7109375" style="33" customWidth="1"/>
    <col min="3598" max="3842" width="9.140625" style="33"/>
    <col min="3843" max="3848" width="5.5703125" style="33" customWidth="1"/>
    <col min="3849" max="3849" width="12.7109375" style="33" customWidth="1"/>
    <col min="3850" max="3850" width="15.42578125" style="33" bestFit="1" customWidth="1"/>
    <col min="3851" max="3853" width="12.7109375" style="33" customWidth="1"/>
    <col min="3854" max="4098" width="9.140625" style="33"/>
    <col min="4099" max="4104" width="5.5703125" style="33" customWidth="1"/>
    <col min="4105" max="4105" width="12.7109375" style="33" customWidth="1"/>
    <col min="4106" max="4106" width="15.42578125" style="33" bestFit="1" customWidth="1"/>
    <col min="4107" max="4109" width="12.7109375" style="33" customWidth="1"/>
    <col min="4110" max="4354" width="9.140625" style="33"/>
    <col min="4355" max="4360" width="5.5703125" style="33" customWidth="1"/>
    <col min="4361" max="4361" width="12.7109375" style="33" customWidth="1"/>
    <col min="4362" max="4362" width="15.42578125" style="33" bestFit="1" customWidth="1"/>
    <col min="4363" max="4365" width="12.7109375" style="33" customWidth="1"/>
    <col min="4366" max="4610" width="9.140625" style="33"/>
    <col min="4611" max="4616" width="5.5703125" style="33" customWidth="1"/>
    <col min="4617" max="4617" width="12.7109375" style="33" customWidth="1"/>
    <col min="4618" max="4618" width="15.42578125" style="33" bestFit="1" customWidth="1"/>
    <col min="4619" max="4621" width="12.7109375" style="33" customWidth="1"/>
    <col min="4622" max="4866" width="9.140625" style="33"/>
    <col min="4867" max="4872" width="5.5703125" style="33" customWidth="1"/>
    <col min="4873" max="4873" width="12.7109375" style="33" customWidth="1"/>
    <col min="4874" max="4874" width="15.42578125" style="33" bestFit="1" customWidth="1"/>
    <col min="4875" max="4877" width="12.7109375" style="33" customWidth="1"/>
    <col min="4878" max="5122" width="9.140625" style="33"/>
    <col min="5123" max="5128" width="5.5703125" style="33" customWidth="1"/>
    <col min="5129" max="5129" width="12.7109375" style="33" customWidth="1"/>
    <col min="5130" max="5130" width="15.42578125" style="33" bestFit="1" customWidth="1"/>
    <col min="5131" max="5133" width="12.7109375" style="33" customWidth="1"/>
    <col min="5134" max="5378" width="9.140625" style="33"/>
    <col min="5379" max="5384" width="5.5703125" style="33" customWidth="1"/>
    <col min="5385" max="5385" width="12.7109375" style="33" customWidth="1"/>
    <col min="5386" max="5386" width="15.42578125" style="33" bestFit="1" customWidth="1"/>
    <col min="5387" max="5389" width="12.7109375" style="33" customWidth="1"/>
    <col min="5390" max="5634" width="9.140625" style="33"/>
    <col min="5635" max="5640" width="5.5703125" style="33" customWidth="1"/>
    <col min="5641" max="5641" width="12.7109375" style="33" customWidth="1"/>
    <col min="5642" max="5642" width="15.42578125" style="33" bestFit="1" customWidth="1"/>
    <col min="5643" max="5645" width="12.7109375" style="33" customWidth="1"/>
    <col min="5646" max="5890" width="9.140625" style="33"/>
    <col min="5891" max="5896" width="5.5703125" style="33" customWidth="1"/>
    <col min="5897" max="5897" width="12.7109375" style="33" customWidth="1"/>
    <col min="5898" max="5898" width="15.42578125" style="33" bestFit="1" customWidth="1"/>
    <col min="5899" max="5901" width="12.7109375" style="33" customWidth="1"/>
    <col min="5902" max="6146" width="9.140625" style="33"/>
    <col min="6147" max="6152" width="5.5703125" style="33" customWidth="1"/>
    <col min="6153" max="6153" width="12.7109375" style="33" customWidth="1"/>
    <col min="6154" max="6154" width="15.42578125" style="33" bestFit="1" customWidth="1"/>
    <col min="6155" max="6157" width="12.7109375" style="33" customWidth="1"/>
    <col min="6158" max="6402" width="9.140625" style="33"/>
    <col min="6403" max="6408" width="5.5703125" style="33" customWidth="1"/>
    <col min="6409" max="6409" width="12.7109375" style="33" customWidth="1"/>
    <col min="6410" max="6410" width="15.42578125" style="33" bestFit="1" customWidth="1"/>
    <col min="6411" max="6413" width="12.7109375" style="33" customWidth="1"/>
    <col min="6414" max="6658" width="9.140625" style="33"/>
    <col min="6659" max="6664" width="5.5703125" style="33" customWidth="1"/>
    <col min="6665" max="6665" width="12.7109375" style="33" customWidth="1"/>
    <col min="6666" max="6666" width="15.42578125" style="33" bestFit="1" customWidth="1"/>
    <col min="6667" max="6669" width="12.7109375" style="33" customWidth="1"/>
    <col min="6670" max="6914" width="9.140625" style="33"/>
    <col min="6915" max="6920" width="5.5703125" style="33" customWidth="1"/>
    <col min="6921" max="6921" width="12.7109375" style="33" customWidth="1"/>
    <col min="6922" max="6922" width="15.42578125" style="33" bestFit="1" customWidth="1"/>
    <col min="6923" max="6925" width="12.7109375" style="33" customWidth="1"/>
    <col min="6926" max="7170" width="9.140625" style="33"/>
    <col min="7171" max="7176" width="5.5703125" style="33" customWidth="1"/>
    <col min="7177" max="7177" width="12.7109375" style="33" customWidth="1"/>
    <col min="7178" max="7178" width="15.42578125" style="33" bestFit="1" customWidth="1"/>
    <col min="7179" max="7181" width="12.7109375" style="33" customWidth="1"/>
    <col min="7182" max="7426" width="9.140625" style="33"/>
    <col min="7427" max="7432" width="5.5703125" style="33" customWidth="1"/>
    <col min="7433" max="7433" width="12.7109375" style="33" customWidth="1"/>
    <col min="7434" max="7434" width="15.42578125" style="33" bestFit="1" customWidth="1"/>
    <col min="7435" max="7437" width="12.7109375" style="33" customWidth="1"/>
    <col min="7438" max="7682" width="9.140625" style="33"/>
    <col min="7683" max="7688" width="5.5703125" style="33" customWidth="1"/>
    <col min="7689" max="7689" width="12.7109375" style="33" customWidth="1"/>
    <col min="7690" max="7690" width="15.42578125" style="33" bestFit="1" customWidth="1"/>
    <col min="7691" max="7693" width="12.7109375" style="33" customWidth="1"/>
    <col min="7694" max="7938" width="9.140625" style="33"/>
    <col min="7939" max="7944" width="5.5703125" style="33" customWidth="1"/>
    <col min="7945" max="7945" width="12.7109375" style="33" customWidth="1"/>
    <col min="7946" max="7946" width="15.42578125" style="33" bestFit="1" customWidth="1"/>
    <col min="7947" max="7949" width="12.7109375" style="33" customWidth="1"/>
    <col min="7950" max="8194" width="9.140625" style="33"/>
    <col min="8195" max="8200" width="5.5703125" style="33" customWidth="1"/>
    <col min="8201" max="8201" width="12.7109375" style="33" customWidth="1"/>
    <col min="8202" max="8202" width="15.42578125" style="33" bestFit="1" customWidth="1"/>
    <col min="8203" max="8205" width="12.7109375" style="33" customWidth="1"/>
    <col min="8206" max="8450" width="9.140625" style="33"/>
    <col min="8451" max="8456" width="5.5703125" style="33" customWidth="1"/>
    <col min="8457" max="8457" width="12.7109375" style="33" customWidth="1"/>
    <col min="8458" max="8458" width="15.42578125" style="33" bestFit="1" customWidth="1"/>
    <col min="8459" max="8461" width="12.7109375" style="33" customWidth="1"/>
    <col min="8462" max="8706" width="9.140625" style="33"/>
    <col min="8707" max="8712" width="5.5703125" style="33" customWidth="1"/>
    <col min="8713" max="8713" width="12.7109375" style="33" customWidth="1"/>
    <col min="8714" max="8714" width="15.42578125" style="33" bestFit="1" customWidth="1"/>
    <col min="8715" max="8717" width="12.7109375" style="33" customWidth="1"/>
    <col min="8718" max="8962" width="9.140625" style="33"/>
    <col min="8963" max="8968" width="5.5703125" style="33" customWidth="1"/>
    <col min="8969" max="8969" width="12.7109375" style="33" customWidth="1"/>
    <col min="8970" max="8970" width="15.42578125" style="33" bestFit="1" customWidth="1"/>
    <col min="8971" max="8973" width="12.7109375" style="33" customWidth="1"/>
    <col min="8974" max="9218" width="9.140625" style="33"/>
    <col min="9219" max="9224" width="5.5703125" style="33" customWidth="1"/>
    <col min="9225" max="9225" width="12.7109375" style="33" customWidth="1"/>
    <col min="9226" max="9226" width="15.42578125" style="33" bestFit="1" customWidth="1"/>
    <col min="9227" max="9229" width="12.7109375" style="33" customWidth="1"/>
    <col min="9230" max="9474" width="9.140625" style="33"/>
    <col min="9475" max="9480" width="5.5703125" style="33" customWidth="1"/>
    <col min="9481" max="9481" width="12.7109375" style="33" customWidth="1"/>
    <col min="9482" max="9482" width="15.42578125" style="33" bestFit="1" customWidth="1"/>
    <col min="9483" max="9485" width="12.7109375" style="33" customWidth="1"/>
    <col min="9486" max="9730" width="9.140625" style="33"/>
    <col min="9731" max="9736" width="5.5703125" style="33" customWidth="1"/>
    <col min="9737" max="9737" width="12.7109375" style="33" customWidth="1"/>
    <col min="9738" max="9738" width="15.42578125" style="33" bestFit="1" customWidth="1"/>
    <col min="9739" max="9741" width="12.7109375" style="33" customWidth="1"/>
    <col min="9742" max="9986" width="9.140625" style="33"/>
    <col min="9987" max="9992" width="5.5703125" style="33" customWidth="1"/>
    <col min="9993" max="9993" width="12.7109375" style="33" customWidth="1"/>
    <col min="9994" max="9994" width="15.42578125" style="33" bestFit="1" customWidth="1"/>
    <col min="9995" max="9997" width="12.7109375" style="33" customWidth="1"/>
    <col min="9998" max="10242" width="9.140625" style="33"/>
    <col min="10243" max="10248" width="5.5703125" style="33" customWidth="1"/>
    <col min="10249" max="10249" width="12.7109375" style="33" customWidth="1"/>
    <col min="10250" max="10250" width="15.42578125" style="33" bestFit="1" customWidth="1"/>
    <col min="10251" max="10253" width="12.7109375" style="33" customWidth="1"/>
    <col min="10254" max="10498" width="9.140625" style="33"/>
    <col min="10499" max="10504" width="5.5703125" style="33" customWidth="1"/>
    <col min="10505" max="10505" width="12.7109375" style="33" customWidth="1"/>
    <col min="10506" max="10506" width="15.42578125" style="33" bestFit="1" customWidth="1"/>
    <col min="10507" max="10509" width="12.7109375" style="33" customWidth="1"/>
    <col min="10510" max="10754" width="9.140625" style="33"/>
    <col min="10755" max="10760" width="5.5703125" style="33" customWidth="1"/>
    <col min="10761" max="10761" width="12.7109375" style="33" customWidth="1"/>
    <col min="10762" max="10762" width="15.42578125" style="33" bestFit="1" customWidth="1"/>
    <col min="10763" max="10765" width="12.7109375" style="33" customWidth="1"/>
    <col min="10766" max="11010" width="9.140625" style="33"/>
    <col min="11011" max="11016" width="5.5703125" style="33" customWidth="1"/>
    <col min="11017" max="11017" width="12.7109375" style="33" customWidth="1"/>
    <col min="11018" max="11018" width="15.42578125" style="33" bestFit="1" customWidth="1"/>
    <col min="11019" max="11021" width="12.7109375" style="33" customWidth="1"/>
    <col min="11022" max="11266" width="9.140625" style="33"/>
    <col min="11267" max="11272" width="5.5703125" style="33" customWidth="1"/>
    <col min="11273" max="11273" width="12.7109375" style="33" customWidth="1"/>
    <col min="11274" max="11274" width="15.42578125" style="33" bestFit="1" customWidth="1"/>
    <col min="11275" max="11277" width="12.7109375" style="33" customWidth="1"/>
    <col min="11278" max="11522" width="9.140625" style="33"/>
    <col min="11523" max="11528" width="5.5703125" style="33" customWidth="1"/>
    <col min="11529" max="11529" width="12.7109375" style="33" customWidth="1"/>
    <col min="11530" max="11530" width="15.42578125" style="33" bestFit="1" customWidth="1"/>
    <col min="11531" max="11533" width="12.7109375" style="33" customWidth="1"/>
    <col min="11534" max="11778" width="9.140625" style="33"/>
    <col min="11779" max="11784" width="5.5703125" style="33" customWidth="1"/>
    <col min="11785" max="11785" width="12.7109375" style="33" customWidth="1"/>
    <col min="11786" max="11786" width="15.42578125" style="33" bestFit="1" customWidth="1"/>
    <col min="11787" max="11789" width="12.7109375" style="33" customWidth="1"/>
    <col min="11790" max="12034" width="9.140625" style="33"/>
    <col min="12035" max="12040" width="5.5703125" style="33" customWidth="1"/>
    <col min="12041" max="12041" width="12.7109375" style="33" customWidth="1"/>
    <col min="12042" max="12042" width="15.42578125" style="33" bestFit="1" customWidth="1"/>
    <col min="12043" max="12045" width="12.7109375" style="33" customWidth="1"/>
    <col min="12046" max="12290" width="9.140625" style="33"/>
    <col min="12291" max="12296" width="5.5703125" style="33" customWidth="1"/>
    <col min="12297" max="12297" width="12.7109375" style="33" customWidth="1"/>
    <col min="12298" max="12298" width="15.42578125" style="33" bestFit="1" customWidth="1"/>
    <col min="12299" max="12301" width="12.7109375" style="33" customWidth="1"/>
    <col min="12302" max="12546" width="9.140625" style="33"/>
    <col min="12547" max="12552" width="5.5703125" style="33" customWidth="1"/>
    <col min="12553" max="12553" width="12.7109375" style="33" customWidth="1"/>
    <col min="12554" max="12554" width="15.42578125" style="33" bestFit="1" customWidth="1"/>
    <col min="12555" max="12557" width="12.7109375" style="33" customWidth="1"/>
    <col min="12558" max="12802" width="9.140625" style="33"/>
    <col min="12803" max="12808" width="5.5703125" style="33" customWidth="1"/>
    <col min="12809" max="12809" width="12.7109375" style="33" customWidth="1"/>
    <col min="12810" max="12810" width="15.42578125" style="33" bestFit="1" customWidth="1"/>
    <col min="12811" max="12813" width="12.7109375" style="33" customWidth="1"/>
    <col min="12814" max="13058" width="9.140625" style="33"/>
    <col min="13059" max="13064" width="5.5703125" style="33" customWidth="1"/>
    <col min="13065" max="13065" width="12.7109375" style="33" customWidth="1"/>
    <col min="13066" max="13066" width="15.42578125" style="33" bestFit="1" customWidth="1"/>
    <col min="13067" max="13069" width="12.7109375" style="33" customWidth="1"/>
    <col min="13070" max="13314" width="9.140625" style="33"/>
    <col min="13315" max="13320" width="5.5703125" style="33" customWidth="1"/>
    <col min="13321" max="13321" width="12.7109375" style="33" customWidth="1"/>
    <col min="13322" max="13322" width="15.42578125" style="33" bestFit="1" customWidth="1"/>
    <col min="13323" max="13325" width="12.7109375" style="33" customWidth="1"/>
    <col min="13326" max="13570" width="9.140625" style="33"/>
    <col min="13571" max="13576" width="5.5703125" style="33" customWidth="1"/>
    <col min="13577" max="13577" width="12.7109375" style="33" customWidth="1"/>
    <col min="13578" max="13578" width="15.42578125" style="33" bestFit="1" customWidth="1"/>
    <col min="13579" max="13581" width="12.7109375" style="33" customWidth="1"/>
    <col min="13582" max="13826" width="9.140625" style="33"/>
    <col min="13827" max="13832" width="5.5703125" style="33" customWidth="1"/>
    <col min="13833" max="13833" width="12.7109375" style="33" customWidth="1"/>
    <col min="13834" max="13834" width="15.42578125" style="33" bestFit="1" customWidth="1"/>
    <col min="13835" max="13837" width="12.7109375" style="33" customWidth="1"/>
    <col min="13838" max="14082" width="9.140625" style="33"/>
    <col min="14083" max="14088" width="5.5703125" style="33" customWidth="1"/>
    <col min="14089" max="14089" width="12.7109375" style="33" customWidth="1"/>
    <col min="14090" max="14090" width="15.42578125" style="33" bestFit="1" customWidth="1"/>
    <col min="14091" max="14093" width="12.7109375" style="33" customWidth="1"/>
    <col min="14094" max="14338" width="9.140625" style="33"/>
    <col min="14339" max="14344" width="5.5703125" style="33" customWidth="1"/>
    <col min="14345" max="14345" width="12.7109375" style="33" customWidth="1"/>
    <col min="14346" max="14346" width="15.42578125" style="33" bestFit="1" customWidth="1"/>
    <col min="14347" max="14349" width="12.7109375" style="33" customWidth="1"/>
    <col min="14350" max="14594" width="9.140625" style="33"/>
    <col min="14595" max="14600" width="5.5703125" style="33" customWidth="1"/>
    <col min="14601" max="14601" width="12.7109375" style="33" customWidth="1"/>
    <col min="14602" max="14602" width="15.42578125" style="33" bestFit="1" customWidth="1"/>
    <col min="14603" max="14605" width="12.7109375" style="33" customWidth="1"/>
    <col min="14606" max="14850" width="9.140625" style="33"/>
    <col min="14851" max="14856" width="5.5703125" style="33" customWidth="1"/>
    <col min="14857" max="14857" width="12.7109375" style="33" customWidth="1"/>
    <col min="14858" max="14858" width="15.42578125" style="33" bestFit="1" customWidth="1"/>
    <col min="14859" max="14861" width="12.7109375" style="33" customWidth="1"/>
    <col min="14862" max="15106" width="9.140625" style="33"/>
    <col min="15107" max="15112" width="5.5703125" style="33" customWidth="1"/>
    <col min="15113" max="15113" width="12.7109375" style="33" customWidth="1"/>
    <col min="15114" max="15114" width="15.42578125" style="33" bestFit="1" customWidth="1"/>
    <col min="15115" max="15117" width="12.7109375" style="33" customWidth="1"/>
    <col min="15118" max="15362" width="9.140625" style="33"/>
    <col min="15363" max="15368" width="5.5703125" style="33" customWidth="1"/>
    <col min="15369" max="15369" width="12.7109375" style="33" customWidth="1"/>
    <col min="15370" max="15370" width="15.42578125" style="33" bestFit="1" customWidth="1"/>
    <col min="15371" max="15373" width="12.7109375" style="33" customWidth="1"/>
    <col min="15374" max="15618" width="9.140625" style="33"/>
    <col min="15619" max="15624" width="5.5703125" style="33" customWidth="1"/>
    <col min="15625" max="15625" width="12.7109375" style="33" customWidth="1"/>
    <col min="15626" max="15626" width="15.42578125" style="33" bestFit="1" customWidth="1"/>
    <col min="15627" max="15629" width="12.7109375" style="33" customWidth="1"/>
    <col min="15630" max="15874" width="9.140625" style="33"/>
    <col min="15875" max="15880" width="5.5703125" style="33" customWidth="1"/>
    <col min="15881" max="15881" width="12.7109375" style="33" customWidth="1"/>
    <col min="15882" max="15882" width="15.42578125" style="33" bestFit="1" customWidth="1"/>
    <col min="15883" max="15885" width="12.7109375" style="33" customWidth="1"/>
    <col min="15886" max="16130" width="9.140625" style="33"/>
    <col min="16131" max="16136" width="5.5703125" style="33" customWidth="1"/>
    <col min="16137" max="16137" width="12.7109375" style="33" customWidth="1"/>
    <col min="16138" max="16138" width="15.42578125" style="33" bestFit="1" customWidth="1"/>
    <col min="16139" max="16141" width="12.7109375" style="33" customWidth="1"/>
    <col min="16142" max="16384" width="9.140625" style="33"/>
  </cols>
  <sheetData>
    <row r="1" spans="1:13" ht="36.75" customHeight="1">
      <c r="A1" s="612">
        <f>ORÇAMENTO!B8</f>
        <v>0</v>
      </c>
      <c r="B1" s="612"/>
      <c r="C1" s="612"/>
      <c r="D1" s="612"/>
      <c r="E1" s="612"/>
      <c r="F1" s="612"/>
      <c r="G1" s="615" t="s">
        <v>391</v>
      </c>
      <c r="H1" s="615"/>
      <c r="I1" s="615"/>
      <c r="J1" s="615"/>
      <c r="K1" s="615"/>
      <c r="L1" s="615"/>
      <c r="M1" s="615"/>
    </row>
    <row r="2" spans="1:13" ht="12.75" customHeight="1">
      <c r="A2" s="612"/>
      <c r="B2" s="612"/>
      <c r="C2" s="612"/>
      <c r="D2" s="612"/>
      <c r="E2" s="612"/>
      <c r="F2" s="612"/>
      <c r="G2" s="614" t="s">
        <v>16</v>
      </c>
      <c r="H2" s="614"/>
      <c r="I2" s="612" t="s">
        <v>464</v>
      </c>
      <c r="J2" s="612"/>
      <c r="K2" s="613" t="s">
        <v>126</v>
      </c>
      <c r="L2" s="613"/>
      <c r="M2" s="468" t="s">
        <v>339</v>
      </c>
    </row>
    <row r="3" spans="1:13" ht="12" customHeight="1">
      <c r="A3" s="612"/>
      <c r="B3" s="612"/>
      <c r="C3" s="612"/>
      <c r="D3" s="612"/>
      <c r="E3" s="612"/>
      <c r="F3" s="612"/>
      <c r="G3" s="612" t="s">
        <v>458</v>
      </c>
      <c r="H3" s="612"/>
      <c r="I3" s="612"/>
      <c r="J3" s="612"/>
      <c r="K3" s="612"/>
      <c r="L3" s="612"/>
      <c r="M3" s="270" t="str">
        <f ca="1">CONCATENATE("DATA:"," ",TEXT(TODAY(),"DD/MM/AA"))</f>
        <v>DATA: 07/08/24</v>
      </c>
    </row>
    <row r="4" spans="1:13" ht="12" customHeight="1">
      <c r="A4" s="271"/>
      <c r="B4" s="71"/>
      <c r="C4" s="71"/>
      <c r="D4" s="71"/>
      <c r="E4" s="71"/>
      <c r="F4" s="71"/>
      <c r="G4" s="71"/>
      <c r="H4" s="71"/>
      <c r="I4" s="71"/>
      <c r="J4" s="34"/>
      <c r="K4" s="34"/>
      <c r="L4" s="34"/>
      <c r="M4" s="272"/>
    </row>
    <row r="5" spans="1:13" s="35" customFormat="1" ht="12" customHeight="1">
      <c r="A5" s="611" t="s">
        <v>525</v>
      </c>
      <c r="B5" s="611"/>
      <c r="C5" s="611"/>
      <c r="D5" s="611"/>
      <c r="E5" s="611"/>
      <c r="F5" s="611"/>
      <c r="G5" s="611"/>
      <c r="H5" s="611"/>
      <c r="I5" s="611"/>
      <c r="J5" s="611"/>
      <c r="K5" s="611"/>
      <c r="L5" s="611"/>
      <c r="M5" s="611"/>
    </row>
    <row r="6" spans="1:13" s="35" customFormat="1" ht="12" customHeight="1">
      <c r="A6" s="611" t="s">
        <v>57</v>
      </c>
      <c r="B6" s="611"/>
      <c r="C6" s="611"/>
      <c r="D6" s="611" t="s">
        <v>58</v>
      </c>
      <c r="E6" s="611"/>
      <c r="F6" s="611"/>
      <c r="G6" s="472" t="s">
        <v>337</v>
      </c>
      <c r="H6" s="472" t="s">
        <v>342</v>
      </c>
      <c r="I6" s="472" t="s">
        <v>60</v>
      </c>
      <c r="J6" s="472" t="s">
        <v>56</v>
      </c>
      <c r="K6" s="472" t="s">
        <v>340</v>
      </c>
      <c r="L6" s="472" t="s">
        <v>131</v>
      </c>
      <c r="M6" s="472" t="s">
        <v>429</v>
      </c>
    </row>
    <row r="7" spans="1:13" s="35" customFormat="1" ht="12" customHeight="1">
      <c r="A7" s="254">
        <v>0</v>
      </c>
      <c r="B7" s="254" t="s">
        <v>59</v>
      </c>
      <c r="C7" s="466">
        <v>0</v>
      </c>
      <c r="D7" s="254">
        <v>65</v>
      </c>
      <c r="E7" s="254" t="s">
        <v>59</v>
      </c>
      <c r="F7" s="466">
        <v>0</v>
      </c>
      <c r="G7" s="466" t="s">
        <v>458</v>
      </c>
      <c r="H7" s="466" t="s">
        <v>61</v>
      </c>
      <c r="I7" s="84">
        <v>1230</v>
      </c>
      <c r="J7" s="466">
        <v>1.2</v>
      </c>
      <c r="K7" s="84" t="s">
        <v>49</v>
      </c>
      <c r="L7" s="466" t="s">
        <v>49</v>
      </c>
      <c r="M7" s="237">
        <f>TRUNC(I7*J7,2)</f>
        <v>1476</v>
      </c>
    </row>
    <row r="8" spans="1:13" s="35" customFormat="1" ht="12" customHeight="1">
      <c r="A8" s="616" t="s">
        <v>24</v>
      </c>
      <c r="B8" s="616"/>
      <c r="C8" s="616"/>
      <c r="D8" s="616"/>
      <c r="E8" s="616"/>
      <c r="F8" s="616"/>
      <c r="G8" s="616"/>
      <c r="H8" s="616"/>
      <c r="I8" s="616"/>
      <c r="J8" s="616"/>
      <c r="K8" s="616"/>
      <c r="L8" s="616"/>
      <c r="M8" s="237">
        <f>SUM(M7:M7)</f>
        <v>1476</v>
      </c>
    </row>
    <row r="9" spans="1:13" s="467" customFormat="1">
      <c r="A9" s="473"/>
      <c r="B9" s="474"/>
      <c r="C9" s="474"/>
      <c r="D9" s="474"/>
      <c r="E9" s="474"/>
      <c r="F9" s="474"/>
      <c r="G9" s="474"/>
      <c r="H9" s="474"/>
      <c r="I9" s="474"/>
      <c r="J9" s="474"/>
      <c r="K9" s="474"/>
      <c r="L9" s="474"/>
      <c r="M9" s="475"/>
    </row>
    <row r="10" spans="1:13" s="35" customFormat="1" ht="12" customHeight="1">
      <c r="A10" s="611" t="s">
        <v>548</v>
      </c>
      <c r="B10" s="611"/>
      <c r="C10" s="611"/>
      <c r="D10" s="611"/>
      <c r="E10" s="611"/>
      <c r="F10" s="611"/>
      <c r="G10" s="611"/>
      <c r="H10" s="611"/>
      <c r="I10" s="611"/>
      <c r="J10" s="611"/>
      <c r="K10" s="611"/>
      <c r="L10" s="611"/>
      <c r="M10" s="611"/>
    </row>
    <row r="11" spans="1:13" s="35" customFormat="1" ht="12" customHeight="1">
      <c r="A11" s="611" t="s">
        <v>57</v>
      </c>
      <c r="B11" s="611"/>
      <c r="C11" s="611"/>
      <c r="D11" s="611" t="s">
        <v>58</v>
      </c>
      <c r="E11" s="611"/>
      <c r="F11" s="611"/>
      <c r="G11" s="510" t="s">
        <v>337</v>
      </c>
      <c r="H11" s="510" t="s">
        <v>342</v>
      </c>
      <c r="I11" s="510" t="s">
        <v>60</v>
      </c>
      <c r="J11" s="510" t="s">
        <v>547</v>
      </c>
      <c r="K11" s="510" t="s">
        <v>546</v>
      </c>
      <c r="L11" s="510" t="s">
        <v>459</v>
      </c>
      <c r="M11" s="510" t="s">
        <v>132</v>
      </c>
    </row>
    <row r="12" spans="1:13" s="35" customFormat="1" ht="12" customHeight="1">
      <c r="A12" s="254">
        <v>0</v>
      </c>
      <c r="B12" s="254" t="s">
        <v>59</v>
      </c>
      <c r="C12" s="466">
        <v>0</v>
      </c>
      <c r="D12" s="254">
        <v>65</v>
      </c>
      <c r="E12" s="254" t="s">
        <v>59</v>
      </c>
      <c r="F12" s="466">
        <v>0</v>
      </c>
      <c r="G12" s="466" t="s">
        <v>458</v>
      </c>
      <c r="H12" s="466" t="s">
        <v>61</v>
      </c>
      <c r="I12" s="84">
        <v>1230</v>
      </c>
      <c r="J12" s="466">
        <v>0.2</v>
      </c>
      <c r="K12" s="84">
        <v>1</v>
      </c>
      <c r="L12" s="84">
        <f>I12/J12*J12</f>
        <v>1230</v>
      </c>
      <c r="M12" s="237">
        <f>TRUNC(J12*K12*L12,2)</f>
        <v>246</v>
      </c>
    </row>
    <row r="13" spans="1:13" s="35" customFormat="1" ht="12" customHeight="1">
      <c r="A13" s="616" t="s">
        <v>24</v>
      </c>
      <c r="B13" s="616"/>
      <c r="C13" s="616"/>
      <c r="D13" s="616"/>
      <c r="E13" s="616"/>
      <c r="F13" s="616"/>
      <c r="G13" s="616"/>
      <c r="H13" s="616"/>
      <c r="I13" s="616"/>
      <c r="J13" s="616"/>
      <c r="K13" s="616"/>
      <c r="L13" s="616"/>
      <c r="M13" s="237">
        <f>SUM(M12:M12)</f>
        <v>246</v>
      </c>
    </row>
    <row r="14" spans="1:13" s="467" customFormat="1">
      <c r="A14" s="473"/>
      <c r="B14" s="474"/>
      <c r="C14" s="474"/>
      <c r="D14" s="474"/>
      <c r="E14" s="474"/>
      <c r="F14" s="474"/>
      <c r="G14" s="474"/>
      <c r="H14" s="474"/>
      <c r="I14" s="474"/>
      <c r="J14" s="474"/>
      <c r="K14" s="474"/>
      <c r="L14" s="474"/>
      <c r="M14" s="475"/>
    </row>
    <row r="15" spans="1:13" s="35" customFormat="1" ht="12" customHeight="1">
      <c r="A15" s="611" t="str">
        <f>ORÇAMENTO!B13</f>
        <v>VIGA DE MADEIRA SERRADA, PINUS TRATADO, SEÇÃO RETANGULAR 4 X 15 X 400 CM. ITEM 01 DO PROJETO</v>
      </c>
      <c r="B15" s="611"/>
      <c r="C15" s="611"/>
      <c r="D15" s="611"/>
      <c r="E15" s="611"/>
      <c r="F15" s="611"/>
      <c r="G15" s="611"/>
      <c r="H15" s="611"/>
      <c r="I15" s="611"/>
      <c r="J15" s="611"/>
      <c r="K15" s="611"/>
      <c r="L15" s="611"/>
      <c r="M15" s="611"/>
    </row>
    <row r="16" spans="1:13" s="35" customFormat="1" ht="12" customHeight="1">
      <c r="A16" s="611" t="s">
        <v>57</v>
      </c>
      <c r="B16" s="611"/>
      <c r="C16" s="611"/>
      <c r="D16" s="611" t="s">
        <v>58</v>
      </c>
      <c r="E16" s="611"/>
      <c r="F16" s="611"/>
      <c r="G16" s="469" t="s">
        <v>337</v>
      </c>
      <c r="H16" s="469" t="s">
        <v>342</v>
      </c>
      <c r="I16" s="469" t="s">
        <v>60</v>
      </c>
      <c r="J16" s="469" t="s">
        <v>462</v>
      </c>
      <c r="K16" s="469" t="s">
        <v>416</v>
      </c>
      <c r="L16" s="469" t="s">
        <v>465</v>
      </c>
      <c r="M16" s="469" t="s">
        <v>429</v>
      </c>
    </row>
    <row r="17" spans="1:17" s="35" customFormat="1" ht="12" customHeight="1">
      <c r="A17" s="254">
        <f t="shared" ref="A17:H17" si="0">A22</f>
        <v>0</v>
      </c>
      <c r="B17" s="254" t="str">
        <f t="shared" si="0"/>
        <v>+</v>
      </c>
      <c r="C17" s="466">
        <f t="shared" si="0"/>
        <v>0</v>
      </c>
      <c r="D17" s="254">
        <f t="shared" si="0"/>
        <v>65</v>
      </c>
      <c r="E17" s="254" t="str">
        <f t="shared" si="0"/>
        <v>+</v>
      </c>
      <c r="F17" s="466">
        <f t="shared" si="0"/>
        <v>0</v>
      </c>
      <c r="G17" s="466" t="str">
        <f t="shared" si="0"/>
        <v>TRILHA SUSPENSA - PARQUE ECOLÓGICO</v>
      </c>
      <c r="H17" s="466" t="str">
        <f t="shared" si="0"/>
        <v>LE/LD</v>
      </c>
      <c r="I17" s="84">
        <v>1230</v>
      </c>
      <c r="J17" s="466" t="s">
        <v>49</v>
      </c>
      <c r="K17" s="84" t="s">
        <v>49</v>
      </c>
      <c r="L17" s="466">
        <v>2</v>
      </c>
      <c r="M17" s="237">
        <f>TRUNC(I17*L17,2)</f>
        <v>2460</v>
      </c>
    </row>
    <row r="18" spans="1:17" s="35" customFormat="1" ht="12" customHeight="1">
      <c r="A18" s="616" t="s">
        <v>24</v>
      </c>
      <c r="B18" s="616"/>
      <c r="C18" s="616"/>
      <c r="D18" s="616"/>
      <c r="E18" s="616"/>
      <c r="F18" s="616"/>
      <c r="G18" s="616"/>
      <c r="H18" s="616"/>
      <c r="I18" s="616"/>
      <c r="J18" s="616"/>
      <c r="K18" s="616"/>
      <c r="L18" s="616"/>
      <c r="M18" s="237">
        <f>SUM(M17:M17)</f>
        <v>2460</v>
      </c>
    </row>
    <row r="19" spans="1:17" s="467" customFormat="1">
      <c r="A19" s="473"/>
      <c r="B19" s="474"/>
      <c r="C19" s="474"/>
      <c r="D19" s="474"/>
      <c r="E19" s="474"/>
      <c r="F19" s="474"/>
      <c r="G19" s="474"/>
      <c r="H19" s="474"/>
      <c r="I19" s="474"/>
      <c r="J19" s="474"/>
      <c r="K19" s="474"/>
      <c r="L19" s="474"/>
      <c r="M19" s="475"/>
    </row>
    <row r="20" spans="1:17" s="35" customFormat="1" ht="12" customHeight="1">
      <c r="A20" s="611" t="str">
        <f>ORÇAMENTO!B14</f>
        <v>VIGA DE MADEIRA SERRADA, PINUS TRATADO, SEÇÃO RETANGULAR 6 X 12 X 400 CM. ITEM 02 DO PROJETO</v>
      </c>
      <c r="B20" s="611"/>
      <c r="C20" s="611"/>
      <c r="D20" s="611"/>
      <c r="E20" s="611"/>
      <c r="F20" s="611"/>
      <c r="G20" s="611"/>
      <c r="H20" s="611"/>
      <c r="I20" s="611"/>
      <c r="J20" s="611"/>
      <c r="K20" s="611"/>
      <c r="L20" s="611"/>
      <c r="M20" s="611"/>
    </row>
    <row r="21" spans="1:17" s="35" customFormat="1" ht="12" customHeight="1">
      <c r="A21" s="611" t="s">
        <v>57</v>
      </c>
      <c r="B21" s="611"/>
      <c r="C21" s="611"/>
      <c r="D21" s="611" t="s">
        <v>58</v>
      </c>
      <c r="E21" s="611"/>
      <c r="F21" s="611"/>
      <c r="G21" s="469" t="s">
        <v>337</v>
      </c>
      <c r="H21" s="469" t="s">
        <v>342</v>
      </c>
      <c r="I21" s="469" t="s">
        <v>60</v>
      </c>
      <c r="J21" s="469" t="s">
        <v>462</v>
      </c>
      <c r="K21" s="469" t="s">
        <v>416</v>
      </c>
      <c r="L21" s="469" t="s">
        <v>465</v>
      </c>
      <c r="M21" s="469" t="s">
        <v>429</v>
      </c>
    </row>
    <row r="22" spans="1:17" s="35" customFormat="1" ht="12" customHeight="1">
      <c r="A22" s="254">
        <f t="shared" ref="A22:H22" si="1">A48</f>
        <v>0</v>
      </c>
      <c r="B22" s="254" t="str">
        <f t="shared" si="1"/>
        <v>+</v>
      </c>
      <c r="C22" s="466">
        <f t="shared" si="1"/>
        <v>0</v>
      </c>
      <c r="D22" s="254">
        <f t="shared" si="1"/>
        <v>65</v>
      </c>
      <c r="E22" s="254" t="str">
        <f t="shared" si="1"/>
        <v>+</v>
      </c>
      <c r="F22" s="466">
        <f t="shared" si="1"/>
        <v>0</v>
      </c>
      <c r="G22" s="466" t="str">
        <f t="shared" si="1"/>
        <v>TRILHA SUSPENSA - PARQUE ECOLÓGICO</v>
      </c>
      <c r="H22" s="466" t="str">
        <f t="shared" si="1"/>
        <v>LE/LD</v>
      </c>
      <c r="I22" s="84">
        <v>1230</v>
      </c>
      <c r="J22" s="466">
        <v>1.86</v>
      </c>
      <c r="K22" s="84" t="s">
        <v>49</v>
      </c>
      <c r="L22" s="466">
        <v>4</v>
      </c>
      <c r="M22" s="237">
        <f>TRUNC(I22/2*J22*L22,2)</f>
        <v>4575.6000000000004</v>
      </c>
    </row>
    <row r="23" spans="1:17" s="35" customFormat="1" ht="12" customHeight="1">
      <c r="A23" s="254">
        <f>A22</f>
        <v>0</v>
      </c>
      <c r="B23" s="254" t="str">
        <f t="shared" ref="B23:H23" si="2">B22</f>
        <v>+</v>
      </c>
      <c r="C23" s="466">
        <f t="shared" si="2"/>
        <v>0</v>
      </c>
      <c r="D23" s="254">
        <f t="shared" si="2"/>
        <v>65</v>
      </c>
      <c r="E23" s="254" t="str">
        <f t="shared" si="2"/>
        <v>+</v>
      </c>
      <c r="F23" s="466">
        <f t="shared" si="2"/>
        <v>0</v>
      </c>
      <c r="G23" s="466" t="str">
        <f t="shared" si="2"/>
        <v>TRILHA SUSPENSA - PARQUE ECOLÓGICO</v>
      </c>
      <c r="H23" s="466" t="str">
        <f t="shared" si="2"/>
        <v>LE/LD</v>
      </c>
      <c r="I23" s="84">
        <v>1230</v>
      </c>
      <c r="J23" s="466">
        <v>2</v>
      </c>
      <c r="K23" s="84">
        <v>0.72</v>
      </c>
      <c r="L23" s="466" t="s">
        <v>49</v>
      </c>
      <c r="M23" s="237">
        <f>TRUNC(I23/2*J23*K23,2)</f>
        <v>885.6</v>
      </c>
    </row>
    <row r="24" spans="1:17" s="35" customFormat="1" ht="12" customHeight="1">
      <c r="A24" s="616" t="s">
        <v>24</v>
      </c>
      <c r="B24" s="616"/>
      <c r="C24" s="616"/>
      <c r="D24" s="616"/>
      <c r="E24" s="616"/>
      <c r="F24" s="616"/>
      <c r="G24" s="616"/>
      <c r="H24" s="616"/>
      <c r="I24" s="616"/>
      <c r="J24" s="616"/>
      <c r="K24" s="616"/>
      <c r="L24" s="616"/>
      <c r="M24" s="237">
        <f>SUM(M22:M23)</f>
        <v>5461.2000000000007</v>
      </c>
    </row>
    <row r="25" spans="1:17">
      <c r="A25" s="473"/>
      <c r="B25" s="474"/>
      <c r="C25" s="474"/>
      <c r="D25" s="474"/>
      <c r="E25" s="474"/>
      <c r="F25" s="474"/>
      <c r="G25" s="474"/>
      <c r="H25" s="474"/>
      <c r="I25" s="474"/>
      <c r="J25" s="474"/>
      <c r="K25" s="474"/>
      <c r="L25" s="474"/>
      <c r="M25" s="475"/>
    </row>
    <row r="26" spans="1:17" ht="12" customHeight="1">
      <c r="A26" s="611" t="str">
        <f>ORÇAMENTO!B15</f>
        <v>PILAR DE MADEIRA ROLIÇA, EUCALIPTO TRATADO, DIÂMETRO DE 14 CM, ALTURA DE 3 M. ITEM 03 DO PROJETO</v>
      </c>
      <c r="B26" s="611"/>
      <c r="C26" s="611"/>
      <c r="D26" s="611"/>
      <c r="E26" s="611"/>
      <c r="F26" s="611"/>
      <c r="G26" s="611"/>
      <c r="H26" s="611"/>
      <c r="I26" s="611"/>
      <c r="J26" s="611"/>
      <c r="K26" s="611"/>
      <c r="L26" s="611"/>
      <c r="M26" s="611"/>
      <c r="O26" s="231"/>
      <c r="P26" s="230"/>
      <c r="Q26" s="230"/>
    </row>
    <row r="27" spans="1:17" ht="12" customHeight="1">
      <c r="A27" s="611" t="s">
        <v>57</v>
      </c>
      <c r="B27" s="611"/>
      <c r="C27" s="611"/>
      <c r="D27" s="611" t="s">
        <v>58</v>
      </c>
      <c r="E27" s="611"/>
      <c r="F27" s="611"/>
      <c r="G27" s="469" t="s">
        <v>337</v>
      </c>
      <c r="H27" s="469" t="s">
        <v>342</v>
      </c>
      <c r="I27" s="469" t="s">
        <v>60</v>
      </c>
      <c r="J27" s="469" t="s">
        <v>462</v>
      </c>
      <c r="K27" s="469" t="s">
        <v>416</v>
      </c>
      <c r="L27" s="469" t="s">
        <v>459</v>
      </c>
      <c r="M27" s="469" t="s">
        <v>429</v>
      </c>
      <c r="N27" s="230"/>
      <c r="O27" s="230"/>
      <c r="P27" s="230"/>
      <c r="Q27" s="230"/>
    </row>
    <row r="28" spans="1:17" s="35" customFormat="1" ht="12" customHeight="1">
      <c r="A28" s="254">
        <v>0</v>
      </c>
      <c r="B28" s="254" t="s">
        <v>59</v>
      </c>
      <c r="C28" s="466">
        <v>0</v>
      </c>
      <c r="D28" s="254">
        <v>65</v>
      </c>
      <c r="E28" s="254" t="s">
        <v>59</v>
      </c>
      <c r="F28" s="466">
        <v>0</v>
      </c>
      <c r="G28" s="466" t="str">
        <f>G3</f>
        <v>TRILHA SUSPENSA - PARQUE ECOLÓGICO</v>
      </c>
      <c r="H28" s="466" t="s">
        <v>61</v>
      </c>
      <c r="I28" s="84">
        <v>1230</v>
      </c>
      <c r="J28" s="466">
        <v>2</v>
      </c>
      <c r="K28" s="84">
        <v>3</v>
      </c>
      <c r="L28" s="84">
        <f>I28/J28*J28</f>
        <v>1230</v>
      </c>
      <c r="M28" s="237">
        <f>TRUNC(K28*L28,2)</f>
        <v>3690</v>
      </c>
      <c r="N28" s="232"/>
      <c r="O28" s="232"/>
      <c r="P28" s="232"/>
      <c r="Q28" s="232"/>
    </row>
    <row r="29" spans="1:17" s="35" customFormat="1" ht="12" customHeight="1">
      <c r="A29" s="610" t="s">
        <v>24</v>
      </c>
      <c r="B29" s="610"/>
      <c r="C29" s="610"/>
      <c r="D29" s="610"/>
      <c r="E29" s="610"/>
      <c r="F29" s="610"/>
      <c r="G29" s="610"/>
      <c r="H29" s="610"/>
      <c r="I29" s="610"/>
      <c r="J29" s="610"/>
      <c r="K29" s="610"/>
      <c r="L29" s="610"/>
      <c r="M29" s="237">
        <f>SUM(M28:M28)</f>
        <v>3690</v>
      </c>
      <c r="N29" s="232"/>
      <c r="O29" s="232"/>
      <c r="P29" s="232"/>
      <c r="Q29" s="232"/>
    </row>
    <row r="30" spans="1:17" ht="12" customHeight="1">
      <c r="A30" s="271"/>
      <c r="B30" s="71"/>
      <c r="C30" s="71"/>
      <c r="D30" s="71"/>
      <c r="E30" s="71"/>
      <c r="F30" s="71"/>
      <c r="G30" s="71"/>
      <c r="H30" s="71"/>
      <c r="I30" s="71"/>
      <c r="J30" s="34"/>
      <c r="K30" s="34"/>
      <c r="L30" s="34"/>
      <c r="M30" s="272"/>
    </row>
    <row r="31" spans="1:17" s="35" customFormat="1" ht="12" customHeight="1">
      <c r="A31" s="611" t="str">
        <f>ORÇAMENTO!B16</f>
        <v>VIGA DE MADEIRA SERRADA, PINUS TRATADO, SEÇÃO RETANGULAR 6 X 6 X 115 CM. ITEM 04 DO PROJETO</v>
      </c>
      <c r="B31" s="611"/>
      <c r="C31" s="611"/>
      <c r="D31" s="611"/>
      <c r="E31" s="611"/>
      <c r="F31" s="611"/>
      <c r="G31" s="611"/>
      <c r="H31" s="611"/>
      <c r="I31" s="611"/>
      <c r="J31" s="611"/>
      <c r="K31" s="611"/>
      <c r="L31" s="611"/>
      <c r="M31" s="611"/>
    </row>
    <row r="32" spans="1:17" s="35" customFormat="1" ht="12" customHeight="1">
      <c r="A32" s="611" t="s">
        <v>57</v>
      </c>
      <c r="B32" s="611"/>
      <c r="C32" s="611"/>
      <c r="D32" s="611" t="s">
        <v>58</v>
      </c>
      <c r="E32" s="611"/>
      <c r="F32" s="611"/>
      <c r="G32" s="469" t="s">
        <v>337</v>
      </c>
      <c r="H32" s="469" t="s">
        <v>342</v>
      </c>
      <c r="I32" s="469" t="s">
        <v>60</v>
      </c>
      <c r="J32" s="469" t="s">
        <v>462</v>
      </c>
      <c r="K32" s="469" t="s">
        <v>60</v>
      </c>
      <c r="L32" s="469" t="s">
        <v>131</v>
      </c>
      <c r="M32" s="469" t="s">
        <v>429</v>
      </c>
    </row>
    <row r="33" spans="1:17" s="35" customFormat="1" ht="12" customHeight="1">
      <c r="A33" s="254">
        <f t="shared" ref="A33:H33" si="3">A38</f>
        <v>0</v>
      </c>
      <c r="B33" s="254" t="str">
        <f t="shared" si="3"/>
        <v>+</v>
      </c>
      <c r="C33" s="466">
        <f t="shared" si="3"/>
        <v>0</v>
      </c>
      <c r="D33" s="254">
        <f t="shared" si="3"/>
        <v>65</v>
      </c>
      <c r="E33" s="254" t="str">
        <f t="shared" si="3"/>
        <v>+</v>
      </c>
      <c r="F33" s="466">
        <f t="shared" si="3"/>
        <v>0</v>
      </c>
      <c r="G33" s="466" t="str">
        <f t="shared" si="3"/>
        <v>TRILHA SUSPENSA - PARQUE ECOLÓGICO</v>
      </c>
      <c r="H33" s="466" t="str">
        <f t="shared" si="3"/>
        <v>LE/LD</v>
      </c>
      <c r="I33" s="84">
        <v>1230</v>
      </c>
      <c r="J33" s="466">
        <v>8</v>
      </c>
      <c r="K33" s="84">
        <v>1.1200000000000001</v>
      </c>
      <c r="L33" s="466" t="s">
        <v>49</v>
      </c>
      <c r="M33" s="237">
        <f>TRUNC(I33/2*J33*K33,2)</f>
        <v>5510.4</v>
      </c>
    </row>
    <row r="34" spans="1:17" s="35" customFormat="1" ht="12" customHeight="1">
      <c r="A34" s="616" t="s">
        <v>24</v>
      </c>
      <c r="B34" s="616"/>
      <c r="C34" s="616"/>
      <c r="D34" s="616"/>
      <c r="E34" s="616"/>
      <c r="F34" s="616"/>
      <c r="G34" s="616"/>
      <c r="H34" s="616"/>
      <c r="I34" s="616"/>
      <c r="J34" s="616"/>
      <c r="K34" s="616"/>
      <c r="L34" s="616"/>
      <c r="M34" s="237">
        <f>SUM(M33:M33)</f>
        <v>5510.4</v>
      </c>
    </row>
    <row r="35" spans="1:17">
      <c r="A35" s="473"/>
      <c r="B35" s="474"/>
      <c r="C35" s="474"/>
      <c r="D35" s="474"/>
      <c r="E35" s="474"/>
      <c r="F35" s="474"/>
      <c r="G35" s="474"/>
      <c r="H35" s="474"/>
      <c r="I35" s="474"/>
      <c r="J35" s="474"/>
      <c r="K35" s="474"/>
      <c r="L35" s="474"/>
      <c r="M35" s="475"/>
    </row>
    <row r="36" spans="1:17" s="35" customFormat="1" ht="12" customHeight="1">
      <c r="A36" s="611" t="str">
        <f>ORÇAMENTO!B17</f>
        <v>PISO DE MADEIRA (PINUS TRATADO), SOBRE VIGOTAS DE MADEIRA SEÇÃO 10 X 3,5 X 134 CM. ITEM 05 DO PROJETO</v>
      </c>
      <c r="B36" s="611"/>
      <c r="C36" s="611"/>
      <c r="D36" s="611"/>
      <c r="E36" s="611"/>
      <c r="F36" s="611"/>
      <c r="G36" s="611"/>
      <c r="H36" s="611"/>
      <c r="I36" s="611"/>
      <c r="J36" s="611"/>
      <c r="K36" s="611"/>
      <c r="L36" s="611"/>
      <c r="M36" s="611"/>
    </row>
    <row r="37" spans="1:17" s="35" customFormat="1" ht="12" customHeight="1">
      <c r="A37" s="611" t="s">
        <v>57</v>
      </c>
      <c r="B37" s="611"/>
      <c r="C37" s="611"/>
      <c r="D37" s="611" t="s">
        <v>58</v>
      </c>
      <c r="E37" s="611"/>
      <c r="F37" s="611"/>
      <c r="G37" s="469" t="s">
        <v>337</v>
      </c>
      <c r="H37" s="469" t="s">
        <v>342</v>
      </c>
      <c r="I37" s="469" t="s">
        <v>60</v>
      </c>
      <c r="J37" s="469" t="s">
        <v>56</v>
      </c>
      <c r="K37" s="469" t="s">
        <v>340</v>
      </c>
      <c r="L37" s="469" t="s">
        <v>131</v>
      </c>
      <c r="M37" s="469" t="s">
        <v>429</v>
      </c>
    </row>
    <row r="38" spans="1:17" s="35" customFormat="1" ht="12" customHeight="1">
      <c r="A38" s="254">
        <f t="shared" ref="A38:H38" si="4">A17</f>
        <v>0</v>
      </c>
      <c r="B38" s="254" t="str">
        <f t="shared" si="4"/>
        <v>+</v>
      </c>
      <c r="C38" s="466">
        <f t="shared" si="4"/>
        <v>0</v>
      </c>
      <c r="D38" s="254">
        <f t="shared" si="4"/>
        <v>65</v>
      </c>
      <c r="E38" s="254" t="str">
        <f t="shared" si="4"/>
        <v>+</v>
      </c>
      <c r="F38" s="466">
        <f t="shared" si="4"/>
        <v>0</v>
      </c>
      <c r="G38" s="466" t="str">
        <f t="shared" si="4"/>
        <v>TRILHA SUSPENSA - PARQUE ECOLÓGICO</v>
      </c>
      <c r="H38" s="466" t="str">
        <f t="shared" si="4"/>
        <v>LE/LD</v>
      </c>
      <c r="I38" s="84">
        <v>1230</v>
      </c>
      <c r="J38" s="466">
        <v>1.34</v>
      </c>
      <c r="K38" s="84" t="s">
        <v>49</v>
      </c>
      <c r="L38" s="466" t="s">
        <v>49</v>
      </c>
      <c r="M38" s="237">
        <f>TRUNC(I38*J38,2)</f>
        <v>1648.2</v>
      </c>
    </row>
    <row r="39" spans="1:17" s="35" customFormat="1" ht="12" customHeight="1">
      <c r="A39" s="616" t="s">
        <v>24</v>
      </c>
      <c r="B39" s="616"/>
      <c r="C39" s="616"/>
      <c r="D39" s="616"/>
      <c r="E39" s="616"/>
      <c r="F39" s="616"/>
      <c r="G39" s="616"/>
      <c r="H39" s="616"/>
      <c r="I39" s="616"/>
      <c r="J39" s="616"/>
      <c r="K39" s="616"/>
      <c r="L39" s="616"/>
      <c r="M39" s="237">
        <f>SUM(M38:M38)</f>
        <v>1648.2</v>
      </c>
    </row>
    <row r="40" spans="1:17" s="467" customFormat="1">
      <c r="A40" s="473"/>
      <c r="B40" s="474"/>
      <c r="C40" s="474"/>
      <c r="D40" s="474"/>
      <c r="E40" s="474"/>
      <c r="F40" s="474"/>
      <c r="G40" s="474"/>
      <c r="H40" s="474"/>
      <c r="I40" s="474"/>
      <c r="J40" s="474"/>
      <c r="K40" s="474"/>
      <c r="L40" s="474"/>
      <c r="M40" s="475"/>
    </row>
    <row r="41" spans="1:17" s="35" customFormat="1" ht="12" customHeight="1">
      <c r="A41" s="611" t="str">
        <f>ORÇAMENTO!B18</f>
        <v>VIGA DE MADEIRA ROLIÇA EM EUCALIPTO TRATADO (APLAINADA PARA ASSENTAMENTO DE DECK), DIÂMETRO DE 12 CM, COMPRIMENTO DE 4 M. ITEM 06 DO PROJETO</v>
      </c>
      <c r="B41" s="611"/>
      <c r="C41" s="611"/>
      <c r="D41" s="611"/>
      <c r="E41" s="611"/>
      <c r="F41" s="611"/>
      <c r="G41" s="611"/>
      <c r="H41" s="611"/>
      <c r="I41" s="611"/>
      <c r="J41" s="611"/>
      <c r="K41" s="611"/>
      <c r="L41" s="611"/>
      <c r="M41" s="611"/>
    </row>
    <row r="42" spans="1:17" s="35" customFormat="1" ht="12" customHeight="1">
      <c r="A42" s="611" t="s">
        <v>57</v>
      </c>
      <c r="B42" s="611"/>
      <c r="C42" s="611"/>
      <c r="D42" s="611" t="s">
        <v>58</v>
      </c>
      <c r="E42" s="611"/>
      <c r="F42" s="611"/>
      <c r="G42" s="469" t="s">
        <v>337</v>
      </c>
      <c r="H42" s="469" t="s">
        <v>342</v>
      </c>
      <c r="I42" s="469" t="s">
        <v>60</v>
      </c>
      <c r="J42" s="469" t="s">
        <v>460</v>
      </c>
      <c r="K42" s="469" t="s">
        <v>340</v>
      </c>
      <c r="L42" s="469" t="s">
        <v>131</v>
      </c>
      <c r="M42" s="469" t="s">
        <v>429</v>
      </c>
      <c r="Q42" s="268"/>
    </row>
    <row r="43" spans="1:17" s="35" customFormat="1" ht="12" customHeight="1">
      <c r="A43" s="254">
        <f t="shared" ref="A43:H43" si="5">A28</f>
        <v>0</v>
      </c>
      <c r="B43" s="254" t="str">
        <f t="shared" si="5"/>
        <v>+</v>
      </c>
      <c r="C43" s="466">
        <f t="shared" si="5"/>
        <v>0</v>
      </c>
      <c r="D43" s="254">
        <f t="shared" si="5"/>
        <v>65</v>
      </c>
      <c r="E43" s="254" t="str">
        <f t="shared" si="5"/>
        <v>+</v>
      </c>
      <c r="F43" s="466">
        <f t="shared" si="5"/>
        <v>0</v>
      </c>
      <c r="G43" s="466" t="str">
        <f t="shared" si="5"/>
        <v>TRILHA SUSPENSA - PARQUE ECOLÓGICO</v>
      </c>
      <c r="H43" s="466" t="str">
        <f t="shared" si="5"/>
        <v>LE/LD</v>
      </c>
      <c r="I43" s="84">
        <v>1230</v>
      </c>
      <c r="J43" s="466">
        <v>3</v>
      </c>
      <c r="K43" s="84" t="s">
        <v>49</v>
      </c>
      <c r="L43" s="466" t="s">
        <v>49</v>
      </c>
      <c r="M43" s="237">
        <f>TRUNC(I43*J43,2)</f>
        <v>3690</v>
      </c>
    </row>
    <row r="44" spans="1:17" s="35" customFormat="1" ht="12" customHeight="1">
      <c r="A44" s="610" t="s">
        <v>24</v>
      </c>
      <c r="B44" s="610"/>
      <c r="C44" s="610"/>
      <c r="D44" s="610"/>
      <c r="E44" s="610"/>
      <c r="F44" s="610"/>
      <c r="G44" s="610"/>
      <c r="H44" s="610"/>
      <c r="I44" s="610"/>
      <c r="J44" s="610"/>
      <c r="K44" s="610"/>
      <c r="L44" s="610"/>
      <c r="M44" s="237">
        <f>SUM(M43:M43)</f>
        <v>3690</v>
      </c>
    </row>
    <row r="45" spans="1:17" s="35" customFormat="1" ht="12" customHeight="1">
      <c r="A45" s="273"/>
      <c r="B45" s="252"/>
      <c r="C45" s="253"/>
      <c r="D45" s="252"/>
      <c r="E45" s="252"/>
      <c r="F45" s="253"/>
      <c r="G45" s="253"/>
      <c r="H45" s="253"/>
      <c r="I45" s="253"/>
      <c r="J45" s="253"/>
      <c r="K45" s="253"/>
      <c r="L45" s="253"/>
      <c r="M45" s="274"/>
    </row>
    <row r="46" spans="1:17" s="35" customFormat="1" ht="12" customHeight="1">
      <c r="A46" s="611" t="str">
        <f>ORÇAMENTO!B19</f>
        <v>VIGA DE MADEIRA ROLIÇA EM EUCALIPTO TRATADO, DIÂMETRO DE 12 CM, COMPRIMENTO DE 1,48 M. ITEM 07 DO PROJETO</v>
      </c>
      <c r="B46" s="611"/>
      <c r="C46" s="611"/>
      <c r="D46" s="611"/>
      <c r="E46" s="611"/>
      <c r="F46" s="611"/>
      <c r="G46" s="611"/>
      <c r="H46" s="611"/>
      <c r="I46" s="611"/>
      <c r="J46" s="611"/>
      <c r="K46" s="611"/>
      <c r="L46" s="611"/>
      <c r="M46" s="611"/>
    </row>
    <row r="47" spans="1:17" s="467" customFormat="1" ht="12" customHeight="1">
      <c r="A47" s="611" t="s">
        <v>57</v>
      </c>
      <c r="B47" s="611"/>
      <c r="C47" s="611"/>
      <c r="D47" s="611" t="s">
        <v>58</v>
      </c>
      <c r="E47" s="611"/>
      <c r="F47" s="611"/>
      <c r="G47" s="469" t="s">
        <v>337</v>
      </c>
      <c r="H47" s="469" t="s">
        <v>342</v>
      </c>
      <c r="I47" s="469" t="s">
        <v>60</v>
      </c>
      <c r="J47" s="469" t="s">
        <v>461</v>
      </c>
      <c r="K47" s="469" t="s">
        <v>340</v>
      </c>
      <c r="L47" s="469" t="s">
        <v>131</v>
      </c>
      <c r="M47" s="469" t="s">
        <v>429</v>
      </c>
      <c r="N47" s="230"/>
      <c r="O47" s="230"/>
      <c r="P47" s="230"/>
      <c r="Q47" s="230"/>
    </row>
    <row r="48" spans="1:17" s="35" customFormat="1" ht="12" customHeight="1">
      <c r="A48" s="254">
        <f t="shared" ref="A48:H48" si="6">A43</f>
        <v>0</v>
      </c>
      <c r="B48" s="254" t="str">
        <f t="shared" si="6"/>
        <v>+</v>
      </c>
      <c r="C48" s="466">
        <f t="shared" si="6"/>
        <v>0</v>
      </c>
      <c r="D48" s="254">
        <f t="shared" si="6"/>
        <v>65</v>
      </c>
      <c r="E48" s="254" t="str">
        <f t="shared" si="6"/>
        <v>+</v>
      </c>
      <c r="F48" s="466">
        <f t="shared" si="6"/>
        <v>0</v>
      </c>
      <c r="G48" s="466" t="str">
        <f t="shared" si="6"/>
        <v>TRILHA SUSPENSA - PARQUE ECOLÓGICO</v>
      </c>
      <c r="H48" s="466" t="str">
        <f t="shared" si="6"/>
        <v>LE/LD</v>
      </c>
      <c r="I48" s="84">
        <v>1230</v>
      </c>
      <c r="J48" s="466">
        <f>1.48*3</f>
        <v>4.4399999999999995</v>
      </c>
      <c r="K48" s="84" t="s">
        <v>49</v>
      </c>
      <c r="L48" s="466" t="s">
        <v>49</v>
      </c>
      <c r="M48" s="237">
        <f>TRUNC(I48/2*J48,2)</f>
        <v>2730.6</v>
      </c>
    </row>
    <row r="49" spans="1:13" s="35" customFormat="1" ht="12" customHeight="1">
      <c r="A49" s="616" t="s">
        <v>24</v>
      </c>
      <c r="B49" s="616"/>
      <c r="C49" s="616"/>
      <c r="D49" s="616"/>
      <c r="E49" s="616"/>
      <c r="F49" s="616"/>
      <c r="G49" s="616"/>
      <c r="H49" s="616"/>
      <c r="I49" s="616"/>
      <c r="J49" s="616"/>
      <c r="K49" s="616"/>
      <c r="L49" s="616"/>
      <c r="M49" s="237">
        <f>SUM(M48:M48)</f>
        <v>2730.6</v>
      </c>
    </row>
  </sheetData>
  <mergeCells count="42">
    <mergeCell ref="D27:F27"/>
    <mergeCell ref="A29:L29"/>
    <mergeCell ref="A5:M5"/>
    <mergeCell ref="A6:C6"/>
    <mergeCell ref="D6:F6"/>
    <mergeCell ref="A8:L8"/>
    <mergeCell ref="A18:L18"/>
    <mergeCell ref="A15:M15"/>
    <mergeCell ref="A16:C16"/>
    <mergeCell ref="D16:F16"/>
    <mergeCell ref="A49:L49"/>
    <mergeCell ref="A24:L24"/>
    <mergeCell ref="D47:F47"/>
    <mergeCell ref="A46:M46"/>
    <mergeCell ref="A42:C42"/>
    <mergeCell ref="A41:M41"/>
    <mergeCell ref="D42:F42"/>
    <mergeCell ref="A47:C47"/>
    <mergeCell ref="A37:C37"/>
    <mergeCell ref="D37:F37"/>
    <mergeCell ref="A39:L39"/>
    <mergeCell ref="A34:L34"/>
    <mergeCell ref="A32:C32"/>
    <mergeCell ref="D32:F32"/>
    <mergeCell ref="A26:M26"/>
    <mergeCell ref="A27:C27"/>
    <mergeCell ref="A44:L44"/>
    <mergeCell ref="A36:M36"/>
    <mergeCell ref="A1:F3"/>
    <mergeCell ref="K2:L2"/>
    <mergeCell ref="I2:J2"/>
    <mergeCell ref="G2:H2"/>
    <mergeCell ref="G3:L3"/>
    <mergeCell ref="G1:M1"/>
    <mergeCell ref="A10:M10"/>
    <mergeCell ref="A11:C11"/>
    <mergeCell ref="D11:F11"/>
    <mergeCell ref="A13:L13"/>
    <mergeCell ref="A20:M20"/>
    <mergeCell ref="A21:C21"/>
    <mergeCell ref="D21:F21"/>
    <mergeCell ref="A31:M31"/>
  </mergeCells>
  <printOptions horizontalCentered="1"/>
  <pageMargins left="0.78740157480314965" right="0.78740157480314965" top="0.78740157480314965" bottom="0.78740157480314965" header="0" footer="0.19685039370078741"/>
  <pageSetup paperSize="9" scale="90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0"/>
  <sheetViews>
    <sheetView showGridLines="0" view="pageBreakPreview" zoomScale="145" zoomScaleSheetLayoutView="145" workbookViewId="0">
      <pane ySplit="3" topLeftCell="A4" activePane="bottomLeft" state="frozen"/>
      <selection pane="bottomLeft" activeCell="K13" sqref="K13"/>
    </sheetView>
  </sheetViews>
  <sheetFormatPr defaultRowHeight="12.75"/>
  <cols>
    <col min="1" max="6" width="4.28515625" style="387" customWidth="1"/>
    <col min="7" max="7" width="39.140625" style="387" customWidth="1"/>
    <col min="8" max="8" width="8.42578125" style="387" bestFit="1" customWidth="1"/>
    <col min="9" max="9" width="11.85546875" style="408" customWidth="1"/>
    <col min="10" max="10" width="11.5703125" style="408" bestFit="1" customWidth="1"/>
    <col min="11" max="12" width="7.28515625" style="387" customWidth="1"/>
    <col min="13" max="13" width="23.140625" style="387" bestFit="1" customWidth="1"/>
    <col min="14" max="257" width="9.140625" style="387"/>
    <col min="258" max="263" width="4.85546875" style="387" customWidth="1"/>
    <col min="264" max="264" width="8.42578125" style="387" bestFit="1" customWidth="1"/>
    <col min="265" max="265" width="12.7109375" style="387" customWidth="1"/>
    <col min="266" max="266" width="15.42578125" style="387" bestFit="1" customWidth="1"/>
    <col min="267" max="269" width="12.7109375" style="387" customWidth="1"/>
    <col min="270" max="513" width="9.140625" style="387"/>
    <col min="514" max="519" width="4.85546875" style="387" customWidth="1"/>
    <col min="520" max="520" width="8.42578125" style="387" bestFit="1" customWidth="1"/>
    <col min="521" max="521" width="12.7109375" style="387" customWidth="1"/>
    <col min="522" max="522" width="15.42578125" style="387" bestFit="1" customWidth="1"/>
    <col min="523" max="525" width="12.7109375" style="387" customWidth="1"/>
    <col min="526" max="769" width="9.140625" style="387"/>
    <col min="770" max="775" width="4.85546875" style="387" customWidth="1"/>
    <col min="776" max="776" width="8.42578125" style="387" bestFit="1" customWidth="1"/>
    <col min="777" max="777" width="12.7109375" style="387" customWidth="1"/>
    <col min="778" max="778" width="15.42578125" style="387" bestFit="1" customWidth="1"/>
    <col min="779" max="781" width="12.7109375" style="387" customWidth="1"/>
    <col min="782" max="1025" width="9.140625" style="387"/>
    <col min="1026" max="1031" width="4.85546875" style="387" customWidth="1"/>
    <col min="1032" max="1032" width="8.42578125" style="387" bestFit="1" customWidth="1"/>
    <col min="1033" max="1033" width="12.7109375" style="387" customWidth="1"/>
    <col min="1034" max="1034" width="15.42578125" style="387" bestFit="1" customWidth="1"/>
    <col min="1035" max="1037" width="12.7109375" style="387" customWidth="1"/>
    <col min="1038" max="1281" width="9.140625" style="387"/>
    <col min="1282" max="1287" width="4.85546875" style="387" customWidth="1"/>
    <col min="1288" max="1288" width="8.42578125" style="387" bestFit="1" customWidth="1"/>
    <col min="1289" max="1289" width="12.7109375" style="387" customWidth="1"/>
    <col min="1290" max="1290" width="15.42578125" style="387" bestFit="1" customWidth="1"/>
    <col min="1291" max="1293" width="12.7109375" style="387" customWidth="1"/>
    <col min="1294" max="1537" width="9.140625" style="387"/>
    <col min="1538" max="1543" width="4.85546875" style="387" customWidth="1"/>
    <col min="1544" max="1544" width="8.42578125" style="387" bestFit="1" customWidth="1"/>
    <col min="1545" max="1545" width="12.7109375" style="387" customWidth="1"/>
    <col min="1546" max="1546" width="15.42578125" style="387" bestFit="1" customWidth="1"/>
    <col min="1547" max="1549" width="12.7109375" style="387" customWidth="1"/>
    <col min="1550" max="1793" width="9.140625" style="387"/>
    <col min="1794" max="1799" width="4.85546875" style="387" customWidth="1"/>
    <col min="1800" max="1800" width="8.42578125" style="387" bestFit="1" customWidth="1"/>
    <col min="1801" max="1801" width="12.7109375" style="387" customWidth="1"/>
    <col min="1802" max="1802" width="15.42578125" style="387" bestFit="1" customWidth="1"/>
    <col min="1803" max="1805" width="12.7109375" style="387" customWidth="1"/>
    <col min="1806" max="2049" width="9.140625" style="387"/>
    <col min="2050" max="2055" width="4.85546875" style="387" customWidth="1"/>
    <col min="2056" max="2056" width="8.42578125" style="387" bestFit="1" customWidth="1"/>
    <col min="2057" max="2057" width="12.7109375" style="387" customWidth="1"/>
    <col min="2058" max="2058" width="15.42578125" style="387" bestFit="1" customWidth="1"/>
    <col min="2059" max="2061" width="12.7109375" style="387" customWidth="1"/>
    <col min="2062" max="2305" width="9.140625" style="387"/>
    <col min="2306" max="2311" width="4.85546875" style="387" customWidth="1"/>
    <col min="2312" max="2312" width="8.42578125" style="387" bestFit="1" customWidth="1"/>
    <col min="2313" max="2313" width="12.7109375" style="387" customWidth="1"/>
    <col min="2314" max="2314" width="15.42578125" style="387" bestFit="1" customWidth="1"/>
    <col min="2315" max="2317" width="12.7109375" style="387" customWidth="1"/>
    <col min="2318" max="2561" width="9.140625" style="387"/>
    <col min="2562" max="2567" width="4.85546875" style="387" customWidth="1"/>
    <col min="2568" max="2568" width="8.42578125" style="387" bestFit="1" customWidth="1"/>
    <col min="2569" max="2569" width="12.7109375" style="387" customWidth="1"/>
    <col min="2570" max="2570" width="15.42578125" style="387" bestFit="1" customWidth="1"/>
    <col min="2571" max="2573" width="12.7109375" style="387" customWidth="1"/>
    <col min="2574" max="2817" width="9.140625" style="387"/>
    <col min="2818" max="2823" width="4.85546875" style="387" customWidth="1"/>
    <col min="2824" max="2824" width="8.42578125" style="387" bestFit="1" customWidth="1"/>
    <col min="2825" max="2825" width="12.7109375" style="387" customWidth="1"/>
    <col min="2826" max="2826" width="15.42578125" style="387" bestFit="1" customWidth="1"/>
    <col min="2827" max="2829" width="12.7109375" style="387" customWidth="1"/>
    <col min="2830" max="3073" width="9.140625" style="387"/>
    <col min="3074" max="3079" width="4.85546875" style="387" customWidth="1"/>
    <col min="3080" max="3080" width="8.42578125" style="387" bestFit="1" customWidth="1"/>
    <col min="3081" max="3081" width="12.7109375" style="387" customWidth="1"/>
    <col min="3082" max="3082" width="15.42578125" style="387" bestFit="1" customWidth="1"/>
    <col min="3083" max="3085" width="12.7109375" style="387" customWidth="1"/>
    <col min="3086" max="3329" width="9.140625" style="387"/>
    <col min="3330" max="3335" width="4.85546875" style="387" customWidth="1"/>
    <col min="3336" max="3336" width="8.42578125" style="387" bestFit="1" customWidth="1"/>
    <col min="3337" max="3337" width="12.7109375" style="387" customWidth="1"/>
    <col min="3338" max="3338" width="15.42578125" style="387" bestFit="1" customWidth="1"/>
    <col min="3339" max="3341" width="12.7109375" style="387" customWidth="1"/>
    <col min="3342" max="3585" width="9.140625" style="387"/>
    <col min="3586" max="3591" width="4.85546875" style="387" customWidth="1"/>
    <col min="3592" max="3592" width="8.42578125" style="387" bestFit="1" customWidth="1"/>
    <col min="3593" max="3593" width="12.7109375" style="387" customWidth="1"/>
    <col min="3594" max="3594" width="15.42578125" style="387" bestFit="1" customWidth="1"/>
    <col min="3595" max="3597" width="12.7109375" style="387" customWidth="1"/>
    <col min="3598" max="3841" width="9.140625" style="387"/>
    <col min="3842" max="3847" width="4.85546875" style="387" customWidth="1"/>
    <col min="3848" max="3848" width="8.42578125" style="387" bestFit="1" customWidth="1"/>
    <col min="3849" max="3849" width="12.7109375" style="387" customWidth="1"/>
    <col min="3850" max="3850" width="15.42578125" style="387" bestFit="1" customWidth="1"/>
    <col min="3851" max="3853" width="12.7109375" style="387" customWidth="1"/>
    <col min="3854" max="4097" width="9.140625" style="387"/>
    <col min="4098" max="4103" width="4.85546875" style="387" customWidth="1"/>
    <col min="4104" max="4104" width="8.42578125" style="387" bestFit="1" customWidth="1"/>
    <col min="4105" max="4105" width="12.7109375" style="387" customWidth="1"/>
    <col min="4106" max="4106" width="15.42578125" style="387" bestFit="1" customWidth="1"/>
    <col min="4107" max="4109" width="12.7109375" style="387" customWidth="1"/>
    <col min="4110" max="4353" width="9.140625" style="387"/>
    <col min="4354" max="4359" width="4.85546875" style="387" customWidth="1"/>
    <col min="4360" max="4360" width="8.42578125" style="387" bestFit="1" customWidth="1"/>
    <col min="4361" max="4361" width="12.7109375" style="387" customWidth="1"/>
    <col min="4362" max="4362" width="15.42578125" style="387" bestFit="1" customWidth="1"/>
    <col min="4363" max="4365" width="12.7109375" style="387" customWidth="1"/>
    <col min="4366" max="4609" width="9.140625" style="387"/>
    <col min="4610" max="4615" width="4.85546875" style="387" customWidth="1"/>
    <col min="4616" max="4616" width="8.42578125" style="387" bestFit="1" customWidth="1"/>
    <col min="4617" max="4617" width="12.7109375" style="387" customWidth="1"/>
    <col min="4618" max="4618" width="15.42578125" style="387" bestFit="1" customWidth="1"/>
    <col min="4619" max="4621" width="12.7109375" style="387" customWidth="1"/>
    <col min="4622" max="4865" width="9.140625" style="387"/>
    <col min="4866" max="4871" width="4.85546875" style="387" customWidth="1"/>
    <col min="4872" max="4872" width="8.42578125" style="387" bestFit="1" customWidth="1"/>
    <col min="4873" max="4873" width="12.7109375" style="387" customWidth="1"/>
    <col min="4874" max="4874" width="15.42578125" style="387" bestFit="1" customWidth="1"/>
    <col min="4875" max="4877" width="12.7109375" style="387" customWidth="1"/>
    <col min="4878" max="5121" width="9.140625" style="387"/>
    <col min="5122" max="5127" width="4.85546875" style="387" customWidth="1"/>
    <col min="5128" max="5128" width="8.42578125" style="387" bestFit="1" customWidth="1"/>
    <col min="5129" max="5129" width="12.7109375" style="387" customWidth="1"/>
    <col min="5130" max="5130" width="15.42578125" style="387" bestFit="1" customWidth="1"/>
    <col min="5131" max="5133" width="12.7109375" style="387" customWidth="1"/>
    <col min="5134" max="5377" width="9.140625" style="387"/>
    <col min="5378" max="5383" width="4.85546875" style="387" customWidth="1"/>
    <col min="5384" max="5384" width="8.42578125" style="387" bestFit="1" customWidth="1"/>
    <col min="5385" max="5385" width="12.7109375" style="387" customWidth="1"/>
    <col min="5386" max="5386" width="15.42578125" style="387" bestFit="1" customWidth="1"/>
    <col min="5387" max="5389" width="12.7109375" style="387" customWidth="1"/>
    <col min="5390" max="5633" width="9.140625" style="387"/>
    <col min="5634" max="5639" width="4.85546875" style="387" customWidth="1"/>
    <col min="5640" max="5640" width="8.42578125" style="387" bestFit="1" customWidth="1"/>
    <col min="5641" max="5641" width="12.7109375" style="387" customWidth="1"/>
    <col min="5642" max="5642" width="15.42578125" style="387" bestFit="1" customWidth="1"/>
    <col min="5643" max="5645" width="12.7109375" style="387" customWidth="1"/>
    <col min="5646" max="5889" width="9.140625" style="387"/>
    <col min="5890" max="5895" width="4.85546875" style="387" customWidth="1"/>
    <col min="5896" max="5896" width="8.42578125" style="387" bestFit="1" customWidth="1"/>
    <col min="5897" max="5897" width="12.7109375" style="387" customWidth="1"/>
    <col min="5898" max="5898" width="15.42578125" style="387" bestFit="1" customWidth="1"/>
    <col min="5899" max="5901" width="12.7109375" style="387" customWidth="1"/>
    <col min="5902" max="6145" width="9.140625" style="387"/>
    <col min="6146" max="6151" width="4.85546875" style="387" customWidth="1"/>
    <col min="6152" max="6152" width="8.42578125" style="387" bestFit="1" customWidth="1"/>
    <col min="6153" max="6153" width="12.7109375" style="387" customWidth="1"/>
    <col min="6154" max="6154" width="15.42578125" style="387" bestFit="1" customWidth="1"/>
    <col min="6155" max="6157" width="12.7109375" style="387" customWidth="1"/>
    <col min="6158" max="6401" width="9.140625" style="387"/>
    <col min="6402" max="6407" width="4.85546875" style="387" customWidth="1"/>
    <col min="6408" max="6408" width="8.42578125" style="387" bestFit="1" customWidth="1"/>
    <col min="6409" max="6409" width="12.7109375" style="387" customWidth="1"/>
    <col min="6410" max="6410" width="15.42578125" style="387" bestFit="1" customWidth="1"/>
    <col min="6411" max="6413" width="12.7109375" style="387" customWidth="1"/>
    <col min="6414" max="6657" width="9.140625" style="387"/>
    <col min="6658" max="6663" width="4.85546875" style="387" customWidth="1"/>
    <col min="6664" max="6664" width="8.42578125" style="387" bestFit="1" customWidth="1"/>
    <col min="6665" max="6665" width="12.7109375" style="387" customWidth="1"/>
    <col min="6666" max="6666" width="15.42578125" style="387" bestFit="1" customWidth="1"/>
    <col min="6667" max="6669" width="12.7109375" style="387" customWidth="1"/>
    <col min="6670" max="6913" width="9.140625" style="387"/>
    <col min="6914" max="6919" width="4.85546875" style="387" customWidth="1"/>
    <col min="6920" max="6920" width="8.42578125" style="387" bestFit="1" customWidth="1"/>
    <col min="6921" max="6921" width="12.7109375" style="387" customWidth="1"/>
    <col min="6922" max="6922" width="15.42578125" style="387" bestFit="1" customWidth="1"/>
    <col min="6923" max="6925" width="12.7109375" style="387" customWidth="1"/>
    <col min="6926" max="7169" width="9.140625" style="387"/>
    <col min="7170" max="7175" width="4.85546875" style="387" customWidth="1"/>
    <col min="7176" max="7176" width="8.42578125" style="387" bestFit="1" customWidth="1"/>
    <col min="7177" max="7177" width="12.7109375" style="387" customWidth="1"/>
    <col min="7178" max="7178" width="15.42578125" style="387" bestFit="1" customWidth="1"/>
    <col min="7179" max="7181" width="12.7109375" style="387" customWidth="1"/>
    <col min="7182" max="7425" width="9.140625" style="387"/>
    <col min="7426" max="7431" width="4.85546875" style="387" customWidth="1"/>
    <col min="7432" max="7432" width="8.42578125" style="387" bestFit="1" customWidth="1"/>
    <col min="7433" max="7433" width="12.7109375" style="387" customWidth="1"/>
    <col min="7434" max="7434" width="15.42578125" style="387" bestFit="1" customWidth="1"/>
    <col min="7435" max="7437" width="12.7109375" style="387" customWidth="1"/>
    <col min="7438" max="7681" width="9.140625" style="387"/>
    <col min="7682" max="7687" width="4.85546875" style="387" customWidth="1"/>
    <col min="7688" max="7688" width="8.42578125" style="387" bestFit="1" customWidth="1"/>
    <col min="7689" max="7689" width="12.7109375" style="387" customWidth="1"/>
    <col min="7690" max="7690" width="15.42578125" style="387" bestFit="1" customWidth="1"/>
    <col min="7691" max="7693" width="12.7109375" style="387" customWidth="1"/>
    <col min="7694" max="7937" width="9.140625" style="387"/>
    <col min="7938" max="7943" width="4.85546875" style="387" customWidth="1"/>
    <col min="7944" max="7944" width="8.42578125" style="387" bestFit="1" customWidth="1"/>
    <col min="7945" max="7945" width="12.7109375" style="387" customWidth="1"/>
    <col min="7946" max="7946" width="15.42578125" style="387" bestFit="1" customWidth="1"/>
    <col min="7947" max="7949" width="12.7109375" style="387" customWidth="1"/>
    <col min="7950" max="8193" width="9.140625" style="387"/>
    <col min="8194" max="8199" width="4.85546875" style="387" customWidth="1"/>
    <col min="8200" max="8200" width="8.42578125" style="387" bestFit="1" customWidth="1"/>
    <col min="8201" max="8201" width="12.7109375" style="387" customWidth="1"/>
    <col min="8202" max="8202" width="15.42578125" style="387" bestFit="1" customWidth="1"/>
    <col min="8203" max="8205" width="12.7109375" style="387" customWidth="1"/>
    <col min="8206" max="8449" width="9.140625" style="387"/>
    <col min="8450" max="8455" width="4.85546875" style="387" customWidth="1"/>
    <col min="8456" max="8456" width="8.42578125" style="387" bestFit="1" customWidth="1"/>
    <col min="8457" max="8457" width="12.7109375" style="387" customWidth="1"/>
    <col min="8458" max="8458" width="15.42578125" style="387" bestFit="1" customWidth="1"/>
    <col min="8459" max="8461" width="12.7109375" style="387" customWidth="1"/>
    <col min="8462" max="8705" width="9.140625" style="387"/>
    <col min="8706" max="8711" width="4.85546875" style="387" customWidth="1"/>
    <col min="8712" max="8712" width="8.42578125" style="387" bestFit="1" customWidth="1"/>
    <col min="8713" max="8713" width="12.7109375" style="387" customWidth="1"/>
    <col min="8714" max="8714" width="15.42578125" style="387" bestFit="1" customWidth="1"/>
    <col min="8715" max="8717" width="12.7109375" style="387" customWidth="1"/>
    <col min="8718" max="8961" width="9.140625" style="387"/>
    <col min="8962" max="8967" width="4.85546875" style="387" customWidth="1"/>
    <col min="8968" max="8968" width="8.42578125" style="387" bestFit="1" customWidth="1"/>
    <col min="8969" max="8969" width="12.7109375" style="387" customWidth="1"/>
    <col min="8970" max="8970" width="15.42578125" style="387" bestFit="1" customWidth="1"/>
    <col min="8971" max="8973" width="12.7109375" style="387" customWidth="1"/>
    <col min="8974" max="9217" width="9.140625" style="387"/>
    <col min="9218" max="9223" width="4.85546875" style="387" customWidth="1"/>
    <col min="9224" max="9224" width="8.42578125" style="387" bestFit="1" customWidth="1"/>
    <col min="9225" max="9225" width="12.7109375" style="387" customWidth="1"/>
    <col min="9226" max="9226" width="15.42578125" style="387" bestFit="1" customWidth="1"/>
    <col min="9227" max="9229" width="12.7109375" style="387" customWidth="1"/>
    <col min="9230" max="9473" width="9.140625" style="387"/>
    <col min="9474" max="9479" width="4.85546875" style="387" customWidth="1"/>
    <col min="9480" max="9480" width="8.42578125" style="387" bestFit="1" customWidth="1"/>
    <col min="9481" max="9481" width="12.7109375" style="387" customWidth="1"/>
    <col min="9482" max="9482" width="15.42578125" style="387" bestFit="1" customWidth="1"/>
    <col min="9483" max="9485" width="12.7109375" style="387" customWidth="1"/>
    <col min="9486" max="9729" width="9.140625" style="387"/>
    <col min="9730" max="9735" width="4.85546875" style="387" customWidth="1"/>
    <col min="9736" max="9736" width="8.42578125" style="387" bestFit="1" customWidth="1"/>
    <col min="9737" max="9737" width="12.7109375" style="387" customWidth="1"/>
    <col min="9738" max="9738" width="15.42578125" style="387" bestFit="1" customWidth="1"/>
    <col min="9739" max="9741" width="12.7109375" style="387" customWidth="1"/>
    <col min="9742" max="9985" width="9.140625" style="387"/>
    <col min="9986" max="9991" width="4.85546875" style="387" customWidth="1"/>
    <col min="9992" max="9992" width="8.42578125" style="387" bestFit="1" customWidth="1"/>
    <col min="9993" max="9993" width="12.7109375" style="387" customWidth="1"/>
    <col min="9994" max="9994" width="15.42578125" style="387" bestFit="1" customWidth="1"/>
    <col min="9995" max="9997" width="12.7109375" style="387" customWidth="1"/>
    <col min="9998" max="10241" width="9.140625" style="387"/>
    <col min="10242" max="10247" width="4.85546875" style="387" customWidth="1"/>
    <col min="10248" max="10248" width="8.42578125" style="387" bestFit="1" customWidth="1"/>
    <col min="10249" max="10249" width="12.7109375" style="387" customWidth="1"/>
    <col min="10250" max="10250" width="15.42578125" style="387" bestFit="1" customWidth="1"/>
    <col min="10251" max="10253" width="12.7109375" style="387" customWidth="1"/>
    <col min="10254" max="10497" width="9.140625" style="387"/>
    <col min="10498" max="10503" width="4.85546875" style="387" customWidth="1"/>
    <col min="10504" max="10504" width="8.42578125" style="387" bestFit="1" customWidth="1"/>
    <col min="10505" max="10505" width="12.7109375" style="387" customWidth="1"/>
    <col min="10506" max="10506" width="15.42578125" style="387" bestFit="1" customWidth="1"/>
    <col min="10507" max="10509" width="12.7109375" style="387" customWidth="1"/>
    <col min="10510" max="10753" width="9.140625" style="387"/>
    <col min="10754" max="10759" width="4.85546875" style="387" customWidth="1"/>
    <col min="10760" max="10760" width="8.42578125" style="387" bestFit="1" customWidth="1"/>
    <col min="10761" max="10761" width="12.7109375" style="387" customWidth="1"/>
    <col min="10762" max="10762" width="15.42578125" style="387" bestFit="1" customWidth="1"/>
    <col min="10763" max="10765" width="12.7109375" style="387" customWidth="1"/>
    <col min="10766" max="11009" width="9.140625" style="387"/>
    <col min="11010" max="11015" width="4.85546875" style="387" customWidth="1"/>
    <col min="11016" max="11016" width="8.42578125" style="387" bestFit="1" customWidth="1"/>
    <col min="11017" max="11017" width="12.7109375" style="387" customWidth="1"/>
    <col min="11018" max="11018" width="15.42578125" style="387" bestFit="1" customWidth="1"/>
    <col min="11019" max="11021" width="12.7109375" style="387" customWidth="1"/>
    <col min="11022" max="11265" width="9.140625" style="387"/>
    <col min="11266" max="11271" width="4.85546875" style="387" customWidth="1"/>
    <col min="11272" max="11272" width="8.42578125" style="387" bestFit="1" customWidth="1"/>
    <col min="11273" max="11273" width="12.7109375" style="387" customWidth="1"/>
    <col min="11274" max="11274" width="15.42578125" style="387" bestFit="1" customWidth="1"/>
    <col min="11275" max="11277" width="12.7109375" style="387" customWidth="1"/>
    <col min="11278" max="11521" width="9.140625" style="387"/>
    <col min="11522" max="11527" width="4.85546875" style="387" customWidth="1"/>
    <col min="11528" max="11528" width="8.42578125" style="387" bestFit="1" customWidth="1"/>
    <col min="11529" max="11529" width="12.7109375" style="387" customWidth="1"/>
    <col min="11530" max="11530" width="15.42578125" style="387" bestFit="1" customWidth="1"/>
    <col min="11531" max="11533" width="12.7109375" style="387" customWidth="1"/>
    <col min="11534" max="11777" width="9.140625" style="387"/>
    <col min="11778" max="11783" width="4.85546875" style="387" customWidth="1"/>
    <col min="11784" max="11784" width="8.42578125" style="387" bestFit="1" customWidth="1"/>
    <col min="11785" max="11785" width="12.7109375" style="387" customWidth="1"/>
    <col min="11786" max="11786" width="15.42578125" style="387" bestFit="1" customWidth="1"/>
    <col min="11787" max="11789" width="12.7109375" style="387" customWidth="1"/>
    <col min="11790" max="12033" width="9.140625" style="387"/>
    <col min="12034" max="12039" width="4.85546875" style="387" customWidth="1"/>
    <col min="12040" max="12040" width="8.42578125" style="387" bestFit="1" customWidth="1"/>
    <col min="12041" max="12041" width="12.7109375" style="387" customWidth="1"/>
    <col min="12042" max="12042" width="15.42578125" style="387" bestFit="1" customWidth="1"/>
    <col min="12043" max="12045" width="12.7109375" style="387" customWidth="1"/>
    <col min="12046" max="12289" width="9.140625" style="387"/>
    <col min="12290" max="12295" width="4.85546875" style="387" customWidth="1"/>
    <col min="12296" max="12296" width="8.42578125" style="387" bestFit="1" customWidth="1"/>
    <col min="12297" max="12297" width="12.7109375" style="387" customWidth="1"/>
    <col min="12298" max="12298" width="15.42578125" style="387" bestFit="1" customWidth="1"/>
    <col min="12299" max="12301" width="12.7109375" style="387" customWidth="1"/>
    <col min="12302" max="12545" width="9.140625" style="387"/>
    <col min="12546" max="12551" width="4.85546875" style="387" customWidth="1"/>
    <col min="12552" max="12552" width="8.42578125" style="387" bestFit="1" customWidth="1"/>
    <col min="12553" max="12553" width="12.7109375" style="387" customWidth="1"/>
    <col min="12554" max="12554" width="15.42578125" style="387" bestFit="1" customWidth="1"/>
    <col min="12555" max="12557" width="12.7109375" style="387" customWidth="1"/>
    <col min="12558" max="12801" width="9.140625" style="387"/>
    <col min="12802" max="12807" width="4.85546875" style="387" customWidth="1"/>
    <col min="12808" max="12808" width="8.42578125" style="387" bestFit="1" customWidth="1"/>
    <col min="12809" max="12809" width="12.7109375" style="387" customWidth="1"/>
    <col min="12810" max="12810" width="15.42578125" style="387" bestFit="1" customWidth="1"/>
    <col min="12811" max="12813" width="12.7109375" style="387" customWidth="1"/>
    <col min="12814" max="13057" width="9.140625" style="387"/>
    <col min="13058" max="13063" width="4.85546875" style="387" customWidth="1"/>
    <col min="13064" max="13064" width="8.42578125" style="387" bestFit="1" customWidth="1"/>
    <col min="13065" max="13065" width="12.7109375" style="387" customWidth="1"/>
    <col min="13066" max="13066" width="15.42578125" style="387" bestFit="1" customWidth="1"/>
    <col min="13067" max="13069" width="12.7109375" style="387" customWidth="1"/>
    <col min="13070" max="13313" width="9.140625" style="387"/>
    <col min="13314" max="13319" width="4.85546875" style="387" customWidth="1"/>
    <col min="13320" max="13320" width="8.42578125" style="387" bestFit="1" customWidth="1"/>
    <col min="13321" max="13321" width="12.7109375" style="387" customWidth="1"/>
    <col min="13322" max="13322" width="15.42578125" style="387" bestFit="1" customWidth="1"/>
    <col min="13323" max="13325" width="12.7109375" style="387" customWidth="1"/>
    <col min="13326" max="13569" width="9.140625" style="387"/>
    <col min="13570" max="13575" width="4.85546875" style="387" customWidth="1"/>
    <col min="13576" max="13576" width="8.42578125" style="387" bestFit="1" customWidth="1"/>
    <col min="13577" max="13577" width="12.7109375" style="387" customWidth="1"/>
    <col min="13578" max="13578" width="15.42578125" style="387" bestFit="1" customWidth="1"/>
    <col min="13579" max="13581" width="12.7109375" style="387" customWidth="1"/>
    <col min="13582" max="13825" width="9.140625" style="387"/>
    <col min="13826" max="13831" width="4.85546875" style="387" customWidth="1"/>
    <col min="13832" max="13832" width="8.42578125" style="387" bestFit="1" customWidth="1"/>
    <col min="13833" max="13833" width="12.7109375" style="387" customWidth="1"/>
    <col min="13834" max="13834" width="15.42578125" style="387" bestFit="1" customWidth="1"/>
    <col min="13835" max="13837" width="12.7109375" style="387" customWidth="1"/>
    <col min="13838" max="14081" width="9.140625" style="387"/>
    <col min="14082" max="14087" width="4.85546875" style="387" customWidth="1"/>
    <col min="14088" max="14088" width="8.42578125" style="387" bestFit="1" customWidth="1"/>
    <col min="14089" max="14089" width="12.7109375" style="387" customWidth="1"/>
    <col min="14090" max="14090" width="15.42578125" style="387" bestFit="1" customWidth="1"/>
    <col min="14091" max="14093" width="12.7109375" style="387" customWidth="1"/>
    <col min="14094" max="14337" width="9.140625" style="387"/>
    <col min="14338" max="14343" width="4.85546875" style="387" customWidth="1"/>
    <col min="14344" max="14344" width="8.42578125" style="387" bestFit="1" customWidth="1"/>
    <col min="14345" max="14345" width="12.7109375" style="387" customWidth="1"/>
    <col min="14346" max="14346" width="15.42578125" style="387" bestFit="1" customWidth="1"/>
    <col min="14347" max="14349" width="12.7109375" style="387" customWidth="1"/>
    <col min="14350" max="14593" width="9.140625" style="387"/>
    <col min="14594" max="14599" width="4.85546875" style="387" customWidth="1"/>
    <col min="14600" max="14600" width="8.42578125" style="387" bestFit="1" customWidth="1"/>
    <col min="14601" max="14601" width="12.7109375" style="387" customWidth="1"/>
    <col min="14602" max="14602" width="15.42578125" style="387" bestFit="1" customWidth="1"/>
    <col min="14603" max="14605" width="12.7109375" style="387" customWidth="1"/>
    <col min="14606" max="14849" width="9.140625" style="387"/>
    <col min="14850" max="14855" width="4.85546875" style="387" customWidth="1"/>
    <col min="14856" max="14856" width="8.42578125" style="387" bestFit="1" customWidth="1"/>
    <col min="14857" max="14857" width="12.7109375" style="387" customWidth="1"/>
    <col min="14858" max="14858" width="15.42578125" style="387" bestFit="1" customWidth="1"/>
    <col min="14859" max="14861" width="12.7109375" style="387" customWidth="1"/>
    <col min="14862" max="15105" width="9.140625" style="387"/>
    <col min="15106" max="15111" width="4.85546875" style="387" customWidth="1"/>
    <col min="15112" max="15112" width="8.42578125" style="387" bestFit="1" customWidth="1"/>
    <col min="15113" max="15113" width="12.7109375" style="387" customWidth="1"/>
    <col min="15114" max="15114" width="15.42578125" style="387" bestFit="1" customWidth="1"/>
    <col min="15115" max="15117" width="12.7109375" style="387" customWidth="1"/>
    <col min="15118" max="15361" width="9.140625" style="387"/>
    <col min="15362" max="15367" width="4.85546875" style="387" customWidth="1"/>
    <col min="15368" max="15368" width="8.42578125" style="387" bestFit="1" customWidth="1"/>
    <col min="15369" max="15369" width="12.7109375" style="387" customWidth="1"/>
    <col min="15370" max="15370" width="15.42578125" style="387" bestFit="1" customWidth="1"/>
    <col min="15371" max="15373" width="12.7109375" style="387" customWidth="1"/>
    <col min="15374" max="15617" width="9.140625" style="387"/>
    <col min="15618" max="15623" width="4.85546875" style="387" customWidth="1"/>
    <col min="15624" max="15624" width="8.42578125" style="387" bestFit="1" customWidth="1"/>
    <col min="15625" max="15625" width="12.7109375" style="387" customWidth="1"/>
    <col min="15626" max="15626" width="15.42578125" style="387" bestFit="1" customWidth="1"/>
    <col min="15627" max="15629" width="12.7109375" style="387" customWidth="1"/>
    <col min="15630" max="15873" width="9.140625" style="387"/>
    <col min="15874" max="15879" width="4.85546875" style="387" customWidth="1"/>
    <col min="15880" max="15880" width="8.42578125" style="387" bestFit="1" customWidth="1"/>
    <col min="15881" max="15881" width="12.7109375" style="387" customWidth="1"/>
    <col min="15882" max="15882" width="15.42578125" style="387" bestFit="1" customWidth="1"/>
    <col min="15883" max="15885" width="12.7109375" style="387" customWidth="1"/>
    <col min="15886" max="16129" width="9.140625" style="387"/>
    <col min="16130" max="16135" width="4.85546875" style="387" customWidth="1"/>
    <col min="16136" max="16136" width="8.42578125" style="387" bestFit="1" customWidth="1"/>
    <col min="16137" max="16137" width="12.7109375" style="387" customWidth="1"/>
    <col min="16138" max="16138" width="15.42578125" style="387" bestFit="1" customWidth="1"/>
    <col min="16139" max="16141" width="12.7109375" style="387" customWidth="1"/>
    <col min="16142" max="16384" width="9.140625" style="387"/>
  </cols>
  <sheetData>
    <row r="1" spans="1:13" ht="37.5" customHeight="1">
      <c r="A1" s="633"/>
      <c r="B1" s="634"/>
      <c r="C1" s="635"/>
      <c r="D1" s="627" t="s">
        <v>428</v>
      </c>
      <c r="E1" s="627"/>
      <c r="F1" s="627"/>
      <c r="G1" s="627"/>
      <c r="H1" s="627"/>
      <c r="I1" s="627"/>
      <c r="J1" s="627"/>
      <c r="K1" s="627"/>
      <c r="L1" s="627"/>
      <c r="M1" s="628"/>
    </row>
    <row r="2" spans="1:13" ht="12" customHeight="1">
      <c r="A2" s="636"/>
      <c r="B2" s="637"/>
      <c r="C2" s="638"/>
      <c r="D2" s="629" t="str">
        <f>TRILHA!$G$2</f>
        <v>PREFEITURA MUNICIPAL DE MARACAJÁ</v>
      </c>
      <c r="E2" s="629"/>
      <c r="F2" s="629"/>
      <c r="G2" s="629"/>
      <c r="H2" s="630"/>
      <c r="I2" s="652" t="str">
        <f>TRILHA!$I$2</f>
        <v>BAIRRO: GARAJUVA</v>
      </c>
      <c r="J2" s="652"/>
      <c r="K2" s="653" t="str">
        <f>TRILHA!$K$2</f>
        <v>MUNICIPIO: MARACAJÁ</v>
      </c>
      <c r="L2" s="653"/>
      <c r="M2" s="409" t="str">
        <f>TRILHA!$M$2</f>
        <v>ESTADO: SANTA CATARINA</v>
      </c>
    </row>
    <row r="3" spans="1:13" ht="12" customHeight="1">
      <c r="A3" s="639"/>
      <c r="B3" s="640"/>
      <c r="C3" s="641"/>
      <c r="D3" s="631" t="str">
        <f>TRILHA!G3</f>
        <v>TRILHA SUSPENSA - PARQUE ECOLÓGICO</v>
      </c>
      <c r="E3" s="631"/>
      <c r="F3" s="631"/>
      <c r="G3" s="631"/>
      <c r="H3" s="631"/>
      <c r="I3" s="631"/>
      <c r="J3" s="631"/>
      <c r="K3" s="631"/>
      <c r="L3" s="632"/>
      <c r="M3" s="269" t="str">
        <f ca="1">TRILHA!$M$3</f>
        <v>DATA: 07/08/24</v>
      </c>
    </row>
    <row r="4" spans="1:13" s="388" customFormat="1" ht="12" customHeight="1">
      <c r="A4" s="654" t="s">
        <v>418</v>
      </c>
      <c r="B4" s="654"/>
      <c r="C4" s="654"/>
      <c r="D4" s="654"/>
      <c r="E4" s="654"/>
      <c r="F4" s="654"/>
      <c r="G4" s="654"/>
      <c r="H4" s="654"/>
      <c r="I4" s="654"/>
      <c r="J4" s="654"/>
      <c r="K4" s="654"/>
      <c r="L4" s="654"/>
      <c r="M4" s="654"/>
    </row>
    <row r="5" spans="1:13" s="388" customFormat="1" ht="12" customHeight="1">
      <c r="A5" s="620" t="s">
        <v>57</v>
      </c>
      <c r="B5" s="620"/>
      <c r="C5" s="620"/>
      <c r="D5" s="620" t="s">
        <v>58</v>
      </c>
      <c r="E5" s="620"/>
      <c r="F5" s="620"/>
      <c r="G5" s="413" t="s">
        <v>341</v>
      </c>
      <c r="H5" s="413" t="s">
        <v>118</v>
      </c>
      <c r="I5" s="389" t="s">
        <v>60</v>
      </c>
      <c r="J5" s="389" t="s">
        <v>437</v>
      </c>
      <c r="K5" s="413" t="s">
        <v>340</v>
      </c>
      <c r="L5" s="413" t="s">
        <v>416</v>
      </c>
      <c r="M5" s="413" t="s">
        <v>132</v>
      </c>
    </row>
    <row r="6" spans="1:13" s="388" customFormat="1" ht="12" customHeight="1">
      <c r="A6" s="254">
        <v>0</v>
      </c>
      <c r="B6" s="254" t="s">
        <v>59</v>
      </c>
      <c r="C6" s="412">
        <v>15</v>
      </c>
      <c r="D6" s="254">
        <v>4</v>
      </c>
      <c r="E6" s="412" t="s">
        <v>59</v>
      </c>
      <c r="F6" s="412">
        <v>17</v>
      </c>
      <c r="G6" s="412" t="s">
        <v>435</v>
      </c>
      <c r="H6" s="412" t="s">
        <v>419</v>
      </c>
      <c r="I6" s="84">
        <f t="shared" ref="I6:I18" si="0">(D6*20+F6)-(A6*20+C6)</f>
        <v>82</v>
      </c>
      <c r="J6" s="390">
        <v>1.9</v>
      </c>
      <c r="K6" s="390">
        <f t="shared" ref="K6:K18" si="1">TRUNC(I6*J6,2)</f>
        <v>155.80000000000001</v>
      </c>
      <c r="L6" s="390">
        <v>0.1</v>
      </c>
      <c r="M6" s="407">
        <f>TRUNC(K6*L6,2)</f>
        <v>15.58</v>
      </c>
    </row>
    <row r="7" spans="1:13" s="388" customFormat="1" ht="12" customHeight="1">
      <c r="A7" s="254">
        <v>0</v>
      </c>
      <c r="B7" s="254" t="s">
        <v>59</v>
      </c>
      <c r="C7" s="426">
        <v>0</v>
      </c>
      <c r="D7" s="254">
        <v>0</v>
      </c>
      <c r="E7" s="426" t="s">
        <v>59</v>
      </c>
      <c r="F7" s="426">
        <v>5</v>
      </c>
      <c r="G7" s="426" t="str">
        <f>G6</f>
        <v>RUA JOSÉ MARQUES</v>
      </c>
      <c r="H7" s="426" t="s">
        <v>420</v>
      </c>
      <c r="I7" s="84">
        <f t="shared" si="0"/>
        <v>5</v>
      </c>
      <c r="J7" s="390">
        <v>1.35</v>
      </c>
      <c r="K7" s="390">
        <f t="shared" si="1"/>
        <v>6.75</v>
      </c>
      <c r="L7" s="390">
        <v>0.1</v>
      </c>
      <c r="M7" s="407">
        <f>TRUNC(K7*L7,2)</f>
        <v>0.67</v>
      </c>
    </row>
    <row r="8" spans="1:13" s="388" customFormat="1" ht="12" customHeight="1">
      <c r="A8" s="254">
        <v>0</v>
      </c>
      <c r="B8" s="254" t="s">
        <v>59</v>
      </c>
      <c r="C8" s="412">
        <v>13</v>
      </c>
      <c r="D8" s="254">
        <v>3</v>
      </c>
      <c r="E8" s="412" t="s">
        <v>59</v>
      </c>
      <c r="F8" s="412">
        <v>12</v>
      </c>
      <c r="G8" s="426" t="str">
        <f t="shared" ref="G8:G9" si="2">G7</f>
        <v>RUA JOSÉ MARQUES</v>
      </c>
      <c r="H8" s="412" t="s">
        <v>420</v>
      </c>
      <c r="I8" s="84">
        <f t="shared" si="0"/>
        <v>59</v>
      </c>
      <c r="J8" s="390">
        <v>1.65</v>
      </c>
      <c r="K8" s="390">
        <f t="shared" si="1"/>
        <v>97.35</v>
      </c>
      <c r="L8" s="390">
        <v>0.1</v>
      </c>
      <c r="M8" s="407">
        <f>TRUNC(K8*L8,2)</f>
        <v>9.73</v>
      </c>
    </row>
    <row r="9" spans="1:13" s="388" customFormat="1" ht="12" customHeight="1">
      <c r="A9" s="254">
        <v>4</v>
      </c>
      <c r="B9" s="254" t="s">
        <v>59</v>
      </c>
      <c r="C9" s="426">
        <v>4</v>
      </c>
      <c r="D9" s="254">
        <v>4</v>
      </c>
      <c r="E9" s="426" t="s">
        <v>59</v>
      </c>
      <c r="F9" s="426">
        <v>17</v>
      </c>
      <c r="G9" s="426" t="str">
        <f t="shared" si="2"/>
        <v>RUA JOSÉ MARQUES</v>
      </c>
      <c r="H9" s="426" t="s">
        <v>420</v>
      </c>
      <c r="I9" s="84">
        <f t="shared" si="0"/>
        <v>13</v>
      </c>
      <c r="J9" s="390">
        <v>1.8</v>
      </c>
      <c r="K9" s="390">
        <f t="shared" si="1"/>
        <v>23.4</v>
      </c>
      <c r="L9" s="390">
        <v>0.1</v>
      </c>
      <c r="M9" s="407">
        <f>TRUNC(K9*L9,2)</f>
        <v>2.34</v>
      </c>
    </row>
    <row r="10" spans="1:13" s="388" customFormat="1" ht="12" customHeight="1">
      <c r="A10" s="254">
        <v>0</v>
      </c>
      <c r="B10" s="254" t="s">
        <v>59</v>
      </c>
      <c r="C10" s="412">
        <v>0</v>
      </c>
      <c r="D10" s="254">
        <v>1</v>
      </c>
      <c r="E10" s="412" t="s">
        <v>59</v>
      </c>
      <c r="F10" s="412">
        <v>0</v>
      </c>
      <c r="G10" s="412" t="s">
        <v>436</v>
      </c>
      <c r="H10" s="412" t="s">
        <v>419</v>
      </c>
      <c r="I10" s="84">
        <f t="shared" si="0"/>
        <v>20</v>
      </c>
      <c r="J10" s="390">
        <v>1.5</v>
      </c>
      <c r="K10" s="390">
        <f t="shared" si="1"/>
        <v>30</v>
      </c>
      <c r="L10" s="390">
        <v>0.1</v>
      </c>
      <c r="M10" s="407">
        <f t="shared" ref="M10:M11" si="3">TRUNC(K10*L10,2)</f>
        <v>3</v>
      </c>
    </row>
    <row r="11" spans="1:13" s="388" customFormat="1" ht="12" customHeight="1">
      <c r="A11" s="254">
        <v>1</v>
      </c>
      <c r="B11" s="254" t="s">
        <v>59</v>
      </c>
      <c r="C11" s="412">
        <v>9</v>
      </c>
      <c r="D11" s="254">
        <v>3</v>
      </c>
      <c r="E11" s="254" t="s">
        <v>59</v>
      </c>
      <c r="F11" s="412">
        <v>5</v>
      </c>
      <c r="G11" s="426" t="str">
        <f t="shared" ref="G11:G18" si="4">G10</f>
        <v>RUA VEREADOR FLÁVIO ROCHA</v>
      </c>
      <c r="H11" s="426" t="s">
        <v>419</v>
      </c>
      <c r="I11" s="84">
        <f t="shared" si="0"/>
        <v>36</v>
      </c>
      <c r="J11" s="390">
        <v>2.2000000000000002</v>
      </c>
      <c r="K11" s="390">
        <f t="shared" si="1"/>
        <v>79.2</v>
      </c>
      <c r="L11" s="390">
        <v>0.1</v>
      </c>
      <c r="M11" s="407">
        <f t="shared" si="3"/>
        <v>7.92</v>
      </c>
    </row>
    <row r="12" spans="1:13" s="388" customFormat="1" ht="12" customHeight="1">
      <c r="A12" s="254">
        <v>3</v>
      </c>
      <c r="B12" s="254" t="s">
        <v>59</v>
      </c>
      <c r="C12" s="426">
        <v>12</v>
      </c>
      <c r="D12" s="254">
        <v>7</v>
      </c>
      <c r="E12" s="254" t="s">
        <v>59</v>
      </c>
      <c r="F12" s="426">
        <v>3</v>
      </c>
      <c r="G12" s="426" t="str">
        <f t="shared" si="4"/>
        <v>RUA VEREADOR FLÁVIO ROCHA</v>
      </c>
      <c r="H12" s="426" t="s">
        <v>419</v>
      </c>
      <c r="I12" s="84">
        <f t="shared" si="0"/>
        <v>71</v>
      </c>
      <c r="J12" s="390">
        <v>2.2000000000000002</v>
      </c>
      <c r="K12" s="390">
        <f t="shared" si="1"/>
        <v>156.19999999999999</v>
      </c>
      <c r="L12" s="390">
        <v>0.1</v>
      </c>
      <c r="M12" s="407">
        <f t="shared" ref="M12" si="5">TRUNC(K12*L12,2)</f>
        <v>15.62</v>
      </c>
    </row>
    <row r="13" spans="1:13" s="388" customFormat="1" ht="12" customHeight="1">
      <c r="A13" s="254">
        <v>7</v>
      </c>
      <c r="B13" s="254" t="s">
        <v>59</v>
      </c>
      <c r="C13" s="426">
        <v>11</v>
      </c>
      <c r="D13" s="254">
        <v>9</v>
      </c>
      <c r="E13" s="254" t="s">
        <v>59</v>
      </c>
      <c r="F13" s="426">
        <v>15</v>
      </c>
      <c r="G13" s="426" t="str">
        <f t="shared" si="4"/>
        <v>RUA VEREADOR FLÁVIO ROCHA</v>
      </c>
      <c r="H13" s="426" t="s">
        <v>419</v>
      </c>
      <c r="I13" s="84">
        <f t="shared" si="0"/>
        <v>44</v>
      </c>
      <c r="J13" s="390">
        <v>2.5499999999999998</v>
      </c>
      <c r="K13" s="390">
        <f t="shared" si="1"/>
        <v>112.2</v>
      </c>
      <c r="L13" s="390">
        <v>0.1</v>
      </c>
      <c r="M13" s="407">
        <f t="shared" ref="M13" si="6">TRUNC(K13*L13,2)</f>
        <v>11.22</v>
      </c>
    </row>
    <row r="14" spans="1:13" s="388" customFormat="1" ht="12" customHeight="1">
      <c r="A14" s="254">
        <v>10</v>
      </c>
      <c r="B14" s="254" t="s">
        <v>59</v>
      </c>
      <c r="C14" s="426">
        <v>2</v>
      </c>
      <c r="D14" s="254">
        <v>16</v>
      </c>
      <c r="E14" s="254" t="s">
        <v>59</v>
      </c>
      <c r="F14" s="426">
        <v>13</v>
      </c>
      <c r="G14" s="426" t="str">
        <f t="shared" si="4"/>
        <v>RUA VEREADOR FLÁVIO ROCHA</v>
      </c>
      <c r="H14" s="426" t="s">
        <v>419</v>
      </c>
      <c r="I14" s="84">
        <f t="shared" si="0"/>
        <v>131</v>
      </c>
      <c r="J14" s="390">
        <v>1.5</v>
      </c>
      <c r="K14" s="390">
        <f t="shared" si="1"/>
        <v>196.5</v>
      </c>
      <c r="L14" s="390">
        <v>0.1</v>
      </c>
      <c r="M14" s="407">
        <f t="shared" ref="M14" si="7">TRUNC(K14*L14,2)</f>
        <v>19.649999999999999</v>
      </c>
    </row>
    <row r="15" spans="1:13" s="388" customFormat="1" ht="12" customHeight="1">
      <c r="A15" s="254">
        <v>0</v>
      </c>
      <c r="B15" s="254" t="s">
        <v>59</v>
      </c>
      <c r="C15" s="426">
        <v>0</v>
      </c>
      <c r="D15" s="254">
        <v>1</v>
      </c>
      <c r="E15" s="254" t="s">
        <v>59</v>
      </c>
      <c r="F15" s="426">
        <v>10</v>
      </c>
      <c r="G15" s="426" t="str">
        <f t="shared" si="4"/>
        <v>RUA VEREADOR FLÁVIO ROCHA</v>
      </c>
      <c r="H15" s="426" t="s">
        <v>420</v>
      </c>
      <c r="I15" s="84">
        <f t="shared" si="0"/>
        <v>30</v>
      </c>
      <c r="J15" s="390">
        <v>1.5</v>
      </c>
      <c r="K15" s="390">
        <f t="shared" si="1"/>
        <v>45</v>
      </c>
      <c r="L15" s="390">
        <v>0.1</v>
      </c>
      <c r="M15" s="407">
        <f t="shared" ref="M15" si="8">TRUNC(K15*L15,2)</f>
        <v>4.5</v>
      </c>
    </row>
    <row r="16" spans="1:13" s="388" customFormat="1" ht="12" customHeight="1">
      <c r="A16" s="254">
        <v>1</v>
      </c>
      <c r="B16" s="254" t="s">
        <v>59</v>
      </c>
      <c r="C16" s="426">
        <v>18</v>
      </c>
      <c r="D16" s="254">
        <v>7</v>
      </c>
      <c r="E16" s="254" t="s">
        <v>59</v>
      </c>
      <c r="F16" s="426">
        <v>3</v>
      </c>
      <c r="G16" s="426" t="str">
        <f t="shared" si="4"/>
        <v>RUA VEREADOR FLÁVIO ROCHA</v>
      </c>
      <c r="H16" s="426" t="s">
        <v>420</v>
      </c>
      <c r="I16" s="84">
        <f t="shared" si="0"/>
        <v>105</v>
      </c>
      <c r="J16" s="390">
        <v>2</v>
      </c>
      <c r="K16" s="390">
        <f t="shared" si="1"/>
        <v>210</v>
      </c>
      <c r="L16" s="390">
        <v>0.1</v>
      </c>
      <c r="M16" s="407">
        <f t="shared" ref="M16" si="9">TRUNC(K16*L16,2)</f>
        <v>21</v>
      </c>
    </row>
    <row r="17" spans="1:15" s="388" customFormat="1" ht="12" customHeight="1">
      <c r="A17" s="254">
        <v>7</v>
      </c>
      <c r="B17" s="254" t="s">
        <v>59</v>
      </c>
      <c r="C17" s="426">
        <v>11</v>
      </c>
      <c r="D17" s="254">
        <v>12</v>
      </c>
      <c r="E17" s="254" t="s">
        <v>59</v>
      </c>
      <c r="F17" s="426">
        <v>7</v>
      </c>
      <c r="G17" s="426" t="str">
        <f t="shared" si="4"/>
        <v>RUA VEREADOR FLÁVIO ROCHA</v>
      </c>
      <c r="H17" s="426" t="s">
        <v>420</v>
      </c>
      <c r="I17" s="84">
        <f t="shared" si="0"/>
        <v>96</v>
      </c>
      <c r="J17" s="390">
        <v>1.4</v>
      </c>
      <c r="K17" s="390">
        <f t="shared" si="1"/>
        <v>134.4</v>
      </c>
      <c r="L17" s="390">
        <v>0.1</v>
      </c>
      <c r="M17" s="407">
        <f t="shared" ref="M17" si="10">TRUNC(K17*L17,2)</f>
        <v>13.44</v>
      </c>
    </row>
    <row r="18" spans="1:15" s="388" customFormat="1" ht="12" customHeight="1">
      <c r="A18" s="254">
        <v>12</v>
      </c>
      <c r="B18" s="254" t="s">
        <v>59</v>
      </c>
      <c r="C18" s="426">
        <v>15</v>
      </c>
      <c r="D18" s="254">
        <v>16</v>
      </c>
      <c r="E18" s="254" t="s">
        <v>59</v>
      </c>
      <c r="F18" s="426">
        <v>13</v>
      </c>
      <c r="G18" s="426" t="str">
        <f t="shared" si="4"/>
        <v>RUA VEREADOR FLÁVIO ROCHA</v>
      </c>
      <c r="H18" s="426" t="s">
        <v>420</v>
      </c>
      <c r="I18" s="84">
        <f t="shared" si="0"/>
        <v>78</v>
      </c>
      <c r="J18" s="390">
        <v>1.4</v>
      </c>
      <c r="K18" s="390">
        <f t="shared" si="1"/>
        <v>109.2</v>
      </c>
      <c r="L18" s="390">
        <v>0.1</v>
      </c>
      <c r="M18" s="407">
        <f t="shared" ref="M18" si="11">TRUNC(K18*L18,2)</f>
        <v>10.92</v>
      </c>
    </row>
    <row r="19" spans="1:15" s="388" customFormat="1" ht="12" customHeight="1">
      <c r="A19" s="649" t="s">
        <v>421</v>
      </c>
      <c r="B19" s="649"/>
      <c r="C19" s="649"/>
      <c r="D19" s="649"/>
      <c r="E19" s="649"/>
      <c r="F19" s="649"/>
      <c r="G19" s="649"/>
      <c r="H19" s="649"/>
      <c r="I19" s="649"/>
      <c r="J19" s="649"/>
      <c r="K19" s="649"/>
      <c r="L19" s="649"/>
      <c r="M19" s="394">
        <f>SUM(M6:M18)</f>
        <v>135.58999999999997</v>
      </c>
    </row>
    <row r="20" spans="1:15" s="35" customFormat="1" ht="12" customHeight="1">
      <c r="A20" s="651" t="s">
        <v>422</v>
      </c>
      <c r="B20" s="651"/>
      <c r="C20" s="651"/>
      <c r="D20" s="651"/>
      <c r="E20" s="651"/>
      <c r="F20" s="651"/>
      <c r="G20" s="651"/>
      <c r="H20" s="651"/>
      <c r="I20" s="651"/>
      <c r="J20" s="651"/>
      <c r="K20" s="651"/>
      <c r="L20" s="651"/>
      <c r="M20" s="394">
        <f>M19*1.4</f>
        <v>189.82599999999996</v>
      </c>
      <c r="O20" s="263"/>
    </row>
    <row r="21" spans="1:15" ht="12" customHeight="1">
      <c r="A21" s="414"/>
      <c r="B21" s="415"/>
      <c r="C21" s="415"/>
      <c r="D21" s="415"/>
      <c r="E21" s="415"/>
      <c r="F21" s="415"/>
      <c r="G21" s="415"/>
      <c r="H21" s="415"/>
      <c r="I21" s="392"/>
      <c r="J21" s="392"/>
      <c r="K21" s="415"/>
      <c r="L21" s="415"/>
      <c r="M21" s="393"/>
    </row>
    <row r="22" spans="1:15" s="388" customFormat="1" ht="17.25" customHeight="1">
      <c r="A22" s="617" t="s">
        <v>423</v>
      </c>
      <c r="B22" s="618"/>
      <c r="C22" s="618"/>
      <c r="D22" s="618"/>
      <c r="E22" s="618"/>
      <c r="F22" s="618"/>
      <c r="G22" s="618"/>
      <c r="H22" s="618"/>
      <c r="I22" s="618"/>
      <c r="J22" s="618"/>
      <c r="K22" s="618"/>
      <c r="L22" s="618"/>
      <c r="M22" s="619"/>
    </row>
    <row r="23" spans="1:15" s="388" customFormat="1" ht="12" customHeight="1">
      <c r="A23" s="620" t="s">
        <v>57</v>
      </c>
      <c r="B23" s="620"/>
      <c r="C23" s="620"/>
      <c r="D23" s="620" t="s">
        <v>58</v>
      </c>
      <c r="E23" s="620"/>
      <c r="F23" s="620"/>
      <c r="G23" s="413" t="s">
        <v>341</v>
      </c>
      <c r="H23" s="413" t="s">
        <v>118</v>
      </c>
      <c r="I23" s="389" t="s">
        <v>60</v>
      </c>
      <c r="J23" s="389" t="s">
        <v>56</v>
      </c>
      <c r="K23" s="413" t="s">
        <v>340</v>
      </c>
      <c r="L23" s="413" t="s">
        <v>416</v>
      </c>
      <c r="M23" s="413" t="s">
        <v>429</v>
      </c>
    </row>
    <row r="24" spans="1:15" s="388" customFormat="1" ht="12" customHeight="1">
      <c r="A24" s="254">
        <f>A6</f>
        <v>0</v>
      </c>
      <c r="B24" s="254" t="str">
        <f t="shared" ref="B24:H24" si="12">B6</f>
        <v>+</v>
      </c>
      <c r="C24" s="426">
        <f t="shared" si="12"/>
        <v>15</v>
      </c>
      <c r="D24" s="254">
        <f t="shared" si="12"/>
        <v>4</v>
      </c>
      <c r="E24" s="426" t="str">
        <f t="shared" si="12"/>
        <v>+</v>
      </c>
      <c r="F24" s="426">
        <f t="shared" si="12"/>
        <v>17</v>
      </c>
      <c r="G24" s="426" t="str">
        <f t="shared" si="12"/>
        <v>RUA JOSÉ MARQUES</v>
      </c>
      <c r="H24" s="426" t="str">
        <f t="shared" si="12"/>
        <v>DIREITO</v>
      </c>
      <c r="I24" s="84">
        <f>(D24*20+F24)-(A24*20+C24)</f>
        <v>82</v>
      </c>
      <c r="J24" s="426" t="s">
        <v>49</v>
      </c>
      <c r="K24" s="426" t="s">
        <v>49</v>
      </c>
      <c r="L24" s="426" t="s">
        <v>49</v>
      </c>
      <c r="M24" s="237">
        <f>TRUNC(I24,2)</f>
        <v>82</v>
      </c>
    </row>
    <row r="25" spans="1:15" s="388" customFormat="1" ht="12" customHeight="1">
      <c r="A25" s="254">
        <f t="shared" ref="A25:H25" si="13">A7</f>
        <v>0</v>
      </c>
      <c r="B25" s="254" t="str">
        <f t="shared" si="13"/>
        <v>+</v>
      </c>
      <c r="C25" s="426">
        <f t="shared" si="13"/>
        <v>0</v>
      </c>
      <c r="D25" s="254">
        <f t="shared" si="13"/>
        <v>0</v>
      </c>
      <c r="E25" s="426" t="str">
        <f t="shared" si="13"/>
        <v>+</v>
      </c>
      <c r="F25" s="426">
        <f t="shared" si="13"/>
        <v>5</v>
      </c>
      <c r="G25" s="426" t="str">
        <f t="shared" si="13"/>
        <v>RUA JOSÉ MARQUES</v>
      </c>
      <c r="H25" s="426" t="str">
        <f t="shared" si="13"/>
        <v>ESQUERDO</v>
      </c>
      <c r="I25" s="84">
        <f>(D25*20+F25)-(A25*20+C25)</f>
        <v>5</v>
      </c>
      <c r="J25" s="426" t="s">
        <v>49</v>
      </c>
      <c r="K25" s="426" t="s">
        <v>49</v>
      </c>
      <c r="L25" s="426" t="s">
        <v>49</v>
      </c>
      <c r="M25" s="237">
        <f t="shared" ref="M25:M28" si="14">TRUNC(I25,2)</f>
        <v>5</v>
      </c>
    </row>
    <row r="26" spans="1:15" s="388" customFormat="1" ht="12" customHeight="1">
      <c r="A26" s="254">
        <f t="shared" ref="A26:H26" si="15">A8</f>
        <v>0</v>
      </c>
      <c r="B26" s="254" t="str">
        <f t="shared" si="15"/>
        <v>+</v>
      </c>
      <c r="C26" s="426">
        <f t="shared" si="15"/>
        <v>13</v>
      </c>
      <c r="D26" s="254">
        <f t="shared" si="15"/>
        <v>3</v>
      </c>
      <c r="E26" s="426" t="str">
        <f t="shared" si="15"/>
        <v>+</v>
      </c>
      <c r="F26" s="426">
        <f t="shared" si="15"/>
        <v>12</v>
      </c>
      <c r="G26" s="426" t="str">
        <f t="shared" si="15"/>
        <v>RUA JOSÉ MARQUES</v>
      </c>
      <c r="H26" s="426" t="str">
        <f t="shared" si="15"/>
        <v>ESQUERDO</v>
      </c>
      <c r="I26" s="84">
        <f>(D26*20+F26)-(A26*20+C26)</f>
        <v>59</v>
      </c>
      <c r="J26" s="426" t="s">
        <v>49</v>
      </c>
      <c r="K26" s="426" t="s">
        <v>49</v>
      </c>
      <c r="L26" s="426" t="s">
        <v>49</v>
      </c>
      <c r="M26" s="237">
        <f t="shared" si="14"/>
        <v>59</v>
      </c>
    </row>
    <row r="27" spans="1:15" s="388" customFormat="1" ht="12" customHeight="1">
      <c r="A27" s="254">
        <f t="shared" ref="A27:H27" si="16">A9</f>
        <v>4</v>
      </c>
      <c r="B27" s="254" t="str">
        <f t="shared" si="16"/>
        <v>+</v>
      </c>
      <c r="C27" s="426">
        <f t="shared" si="16"/>
        <v>4</v>
      </c>
      <c r="D27" s="254">
        <f t="shared" si="16"/>
        <v>4</v>
      </c>
      <c r="E27" s="426" t="str">
        <f t="shared" si="16"/>
        <v>+</v>
      </c>
      <c r="F27" s="426">
        <f t="shared" si="16"/>
        <v>17</v>
      </c>
      <c r="G27" s="426" t="str">
        <f t="shared" si="16"/>
        <v>RUA JOSÉ MARQUES</v>
      </c>
      <c r="H27" s="426" t="str">
        <f t="shared" si="16"/>
        <v>ESQUERDO</v>
      </c>
      <c r="I27" s="84">
        <f>(D27*20+F27)-(A27*20+C27)</f>
        <v>13</v>
      </c>
      <c r="J27" s="426" t="s">
        <v>49</v>
      </c>
      <c r="K27" s="426" t="s">
        <v>49</v>
      </c>
      <c r="L27" s="426" t="s">
        <v>49</v>
      </c>
      <c r="M27" s="237">
        <f t="shared" si="14"/>
        <v>13</v>
      </c>
    </row>
    <row r="28" spans="1:15" s="388" customFormat="1" ht="12" customHeight="1">
      <c r="A28" s="254">
        <f t="shared" ref="A28:H28" si="17">A10</f>
        <v>0</v>
      </c>
      <c r="B28" s="254" t="str">
        <f t="shared" si="17"/>
        <v>+</v>
      </c>
      <c r="C28" s="426">
        <f t="shared" si="17"/>
        <v>0</v>
      </c>
      <c r="D28" s="254">
        <f t="shared" si="17"/>
        <v>1</v>
      </c>
      <c r="E28" s="426" t="str">
        <f t="shared" si="17"/>
        <v>+</v>
      </c>
      <c r="F28" s="426">
        <f t="shared" si="17"/>
        <v>0</v>
      </c>
      <c r="G28" s="426" t="str">
        <f t="shared" si="17"/>
        <v>RUA VEREADOR FLÁVIO ROCHA</v>
      </c>
      <c r="H28" s="426" t="str">
        <f t="shared" si="17"/>
        <v>DIREITO</v>
      </c>
      <c r="I28" s="84">
        <f>(D28*20+F28)-(A28*20+C28)</f>
        <v>20</v>
      </c>
      <c r="J28" s="426" t="s">
        <v>49</v>
      </c>
      <c r="K28" s="426" t="s">
        <v>49</v>
      </c>
      <c r="L28" s="426" t="s">
        <v>49</v>
      </c>
      <c r="M28" s="237">
        <f t="shared" si="14"/>
        <v>20</v>
      </c>
    </row>
    <row r="29" spans="1:15" s="388" customFormat="1" ht="12" customHeight="1">
      <c r="A29" s="254">
        <f t="shared" ref="A29:H29" si="18">A11</f>
        <v>1</v>
      </c>
      <c r="B29" s="254" t="str">
        <f t="shared" si="18"/>
        <v>+</v>
      </c>
      <c r="C29" s="426">
        <f t="shared" si="18"/>
        <v>9</v>
      </c>
      <c r="D29" s="254">
        <f t="shared" si="18"/>
        <v>3</v>
      </c>
      <c r="E29" s="426" t="str">
        <f t="shared" si="18"/>
        <v>+</v>
      </c>
      <c r="F29" s="426">
        <f t="shared" si="18"/>
        <v>5</v>
      </c>
      <c r="G29" s="426" t="str">
        <f t="shared" si="18"/>
        <v>RUA VEREADOR FLÁVIO ROCHA</v>
      </c>
      <c r="H29" s="426" t="str">
        <f t="shared" si="18"/>
        <v>DIREITO</v>
      </c>
      <c r="I29" s="84">
        <v>45</v>
      </c>
      <c r="J29" s="426" t="s">
        <v>49</v>
      </c>
      <c r="K29" s="426" t="s">
        <v>49</v>
      </c>
      <c r="L29" s="426" t="s">
        <v>49</v>
      </c>
      <c r="M29" s="237">
        <f>TRUNC(I29,2)</f>
        <v>45</v>
      </c>
    </row>
    <row r="30" spans="1:15" s="388" customFormat="1" ht="12" customHeight="1">
      <c r="A30" s="254">
        <f t="shared" ref="A30:H30" si="19">A12</f>
        <v>3</v>
      </c>
      <c r="B30" s="254" t="str">
        <f t="shared" si="19"/>
        <v>+</v>
      </c>
      <c r="C30" s="426">
        <f t="shared" si="19"/>
        <v>12</v>
      </c>
      <c r="D30" s="254">
        <f t="shared" si="19"/>
        <v>7</v>
      </c>
      <c r="E30" s="426" t="str">
        <f t="shared" si="19"/>
        <v>+</v>
      </c>
      <c r="F30" s="426">
        <f t="shared" si="19"/>
        <v>3</v>
      </c>
      <c r="G30" s="426" t="str">
        <f t="shared" si="19"/>
        <v>RUA VEREADOR FLÁVIO ROCHA</v>
      </c>
      <c r="H30" s="426" t="str">
        <f t="shared" si="19"/>
        <v>DIREITO</v>
      </c>
      <c r="I30" s="84">
        <v>90</v>
      </c>
      <c r="J30" s="426" t="s">
        <v>49</v>
      </c>
      <c r="K30" s="426" t="s">
        <v>49</v>
      </c>
      <c r="L30" s="426" t="s">
        <v>49</v>
      </c>
      <c r="M30" s="237">
        <f t="shared" ref="M30:M33" si="20">TRUNC(I30,2)</f>
        <v>90</v>
      </c>
    </row>
    <row r="31" spans="1:15" s="388" customFormat="1" ht="12" customHeight="1">
      <c r="A31" s="254">
        <f t="shared" ref="A31:H31" si="21">A13</f>
        <v>7</v>
      </c>
      <c r="B31" s="254" t="str">
        <f t="shared" si="21"/>
        <v>+</v>
      </c>
      <c r="C31" s="426">
        <f t="shared" si="21"/>
        <v>11</v>
      </c>
      <c r="D31" s="254">
        <f t="shared" si="21"/>
        <v>9</v>
      </c>
      <c r="E31" s="426" t="str">
        <f t="shared" si="21"/>
        <v>+</v>
      </c>
      <c r="F31" s="426">
        <f t="shared" si="21"/>
        <v>15</v>
      </c>
      <c r="G31" s="426" t="str">
        <f t="shared" si="21"/>
        <v>RUA VEREADOR FLÁVIO ROCHA</v>
      </c>
      <c r="H31" s="426" t="str">
        <f t="shared" si="21"/>
        <v>DIREITO</v>
      </c>
      <c r="I31" s="84">
        <v>65</v>
      </c>
      <c r="J31" s="426" t="s">
        <v>49</v>
      </c>
      <c r="K31" s="426" t="s">
        <v>49</v>
      </c>
      <c r="L31" s="426" t="s">
        <v>49</v>
      </c>
      <c r="M31" s="237">
        <f t="shared" si="20"/>
        <v>65</v>
      </c>
    </row>
    <row r="32" spans="1:15" s="388" customFormat="1" ht="12" customHeight="1">
      <c r="A32" s="254">
        <f t="shared" ref="A32:H32" si="22">A14</f>
        <v>10</v>
      </c>
      <c r="B32" s="254" t="str">
        <f t="shared" si="22"/>
        <v>+</v>
      </c>
      <c r="C32" s="426">
        <f t="shared" si="22"/>
        <v>2</v>
      </c>
      <c r="D32" s="254">
        <f t="shared" si="22"/>
        <v>16</v>
      </c>
      <c r="E32" s="426" t="str">
        <f t="shared" si="22"/>
        <v>+</v>
      </c>
      <c r="F32" s="426">
        <f t="shared" si="22"/>
        <v>13</v>
      </c>
      <c r="G32" s="426" t="str">
        <f t="shared" si="22"/>
        <v>RUA VEREADOR FLÁVIO ROCHA</v>
      </c>
      <c r="H32" s="426" t="str">
        <f t="shared" si="22"/>
        <v>DIREITO</v>
      </c>
      <c r="I32" s="84">
        <v>138</v>
      </c>
      <c r="J32" s="426" t="s">
        <v>49</v>
      </c>
      <c r="K32" s="426" t="s">
        <v>49</v>
      </c>
      <c r="L32" s="426" t="s">
        <v>49</v>
      </c>
      <c r="M32" s="237">
        <f t="shared" si="20"/>
        <v>138</v>
      </c>
    </row>
    <row r="33" spans="1:15" s="388" customFormat="1" ht="12" customHeight="1">
      <c r="A33" s="254">
        <f t="shared" ref="A33:H33" si="23">A15</f>
        <v>0</v>
      </c>
      <c r="B33" s="254" t="str">
        <f t="shared" si="23"/>
        <v>+</v>
      </c>
      <c r="C33" s="426">
        <f t="shared" si="23"/>
        <v>0</v>
      </c>
      <c r="D33" s="254">
        <f t="shared" si="23"/>
        <v>1</v>
      </c>
      <c r="E33" s="426" t="str">
        <f t="shared" si="23"/>
        <v>+</v>
      </c>
      <c r="F33" s="426">
        <f t="shared" si="23"/>
        <v>10</v>
      </c>
      <c r="G33" s="426" t="str">
        <f t="shared" si="23"/>
        <v>RUA VEREADOR FLÁVIO ROCHA</v>
      </c>
      <c r="H33" s="426" t="str">
        <f t="shared" si="23"/>
        <v>ESQUERDO</v>
      </c>
      <c r="I33" s="84">
        <f>(D33*20+F33)-(A33*20+C33)</f>
        <v>30</v>
      </c>
      <c r="J33" s="426" t="s">
        <v>49</v>
      </c>
      <c r="K33" s="426" t="s">
        <v>49</v>
      </c>
      <c r="L33" s="426" t="s">
        <v>49</v>
      </c>
      <c r="M33" s="237">
        <f t="shared" si="20"/>
        <v>30</v>
      </c>
    </row>
    <row r="34" spans="1:15" s="388" customFormat="1" ht="12" customHeight="1">
      <c r="A34" s="254">
        <f t="shared" ref="A34:H34" si="24">A16</f>
        <v>1</v>
      </c>
      <c r="B34" s="254" t="str">
        <f t="shared" si="24"/>
        <v>+</v>
      </c>
      <c r="C34" s="426">
        <f t="shared" si="24"/>
        <v>18</v>
      </c>
      <c r="D34" s="254">
        <f t="shared" si="24"/>
        <v>7</v>
      </c>
      <c r="E34" s="426" t="str">
        <f t="shared" si="24"/>
        <v>+</v>
      </c>
      <c r="F34" s="426">
        <f t="shared" si="24"/>
        <v>3</v>
      </c>
      <c r="G34" s="426" t="str">
        <f t="shared" si="24"/>
        <v>RUA VEREADOR FLÁVIO ROCHA</v>
      </c>
      <c r="H34" s="426" t="str">
        <f t="shared" si="24"/>
        <v>ESQUERDO</v>
      </c>
      <c r="I34" s="84">
        <v>100</v>
      </c>
      <c r="J34" s="426" t="s">
        <v>49</v>
      </c>
      <c r="K34" s="426" t="s">
        <v>49</v>
      </c>
      <c r="L34" s="426" t="s">
        <v>49</v>
      </c>
      <c r="M34" s="237">
        <f>TRUNC(I34,2)</f>
        <v>100</v>
      </c>
    </row>
    <row r="35" spans="1:15" s="388" customFormat="1" ht="12" customHeight="1">
      <c r="A35" s="254">
        <f t="shared" ref="A35:H35" si="25">A17</f>
        <v>7</v>
      </c>
      <c r="B35" s="254" t="str">
        <f t="shared" si="25"/>
        <v>+</v>
      </c>
      <c r="C35" s="426">
        <f t="shared" si="25"/>
        <v>11</v>
      </c>
      <c r="D35" s="254">
        <f t="shared" si="25"/>
        <v>12</v>
      </c>
      <c r="E35" s="426" t="str">
        <f t="shared" si="25"/>
        <v>+</v>
      </c>
      <c r="F35" s="426">
        <f t="shared" si="25"/>
        <v>7</v>
      </c>
      <c r="G35" s="426" t="str">
        <f t="shared" si="25"/>
        <v>RUA VEREADOR FLÁVIO ROCHA</v>
      </c>
      <c r="H35" s="426" t="str">
        <f t="shared" si="25"/>
        <v>ESQUERDO</v>
      </c>
      <c r="I35" s="84">
        <v>92</v>
      </c>
      <c r="J35" s="426" t="s">
        <v>49</v>
      </c>
      <c r="K35" s="426" t="s">
        <v>49</v>
      </c>
      <c r="L35" s="426" t="s">
        <v>49</v>
      </c>
      <c r="M35" s="237">
        <f t="shared" ref="M35:M36" si="26">TRUNC(I35,2)</f>
        <v>92</v>
      </c>
    </row>
    <row r="36" spans="1:15" s="388" customFormat="1" ht="12" customHeight="1">
      <c r="A36" s="254">
        <f t="shared" ref="A36:H36" si="27">A18</f>
        <v>12</v>
      </c>
      <c r="B36" s="254" t="str">
        <f t="shared" si="27"/>
        <v>+</v>
      </c>
      <c r="C36" s="426">
        <f t="shared" si="27"/>
        <v>15</v>
      </c>
      <c r="D36" s="254">
        <f t="shared" si="27"/>
        <v>16</v>
      </c>
      <c r="E36" s="426" t="str">
        <f t="shared" si="27"/>
        <v>+</v>
      </c>
      <c r="F36" s="426">
        <f t="shared" si="27"/>
        <v>13</v>
      </c>
      <c r="G36" s="426" t="str">
        <f t="shared" si="27"/>
        <v>RUA VEREADOR FLÁVIO ROCHA</v>
      </c>
      <c r="H36" s="426" t="str">
        <f t="shared" si="27"/>
        <v>ESQUERDO</v>
      </c>
      <c r="I36" s="84">
        <v>75</v>
      </c>
      <c r="J36" s="426" t="s">
        <v>49</v>
      </c>
      <c r="K36" s="426" t="s">
        <v>49</v>
      </c>
      <c r="L36" s="426" t="s">
        <v>49</v>
      </c>
      <c r="M36" s="237">
        <f t="shared" si="26"/>
        <v>75</v>
      </c>
    </row>
    <row r="37" spans="1:15" s="35" customFormat="1" ht="12" customHeight="1">
      <c r="A37" s="649" t="s">
        <v>421</v>
      </c>
      <c r="B37" s="649"/>
      <c r="C37" s="649"/>
      <c r="D37" s="649"/>
      <c r="E37" s="649"/>
      <c r="F37" s="649"/>
      <c r="G37" s="649"/>
      <c r="H37" s="649"/>
      <c r="I37" s="649"/>
      <c r="J37" s="649"/>
      <c r="K37" s="649"/>
      <c r="L37" s="649"/>
      <c r="M37" s="394">
        <f>SUM(M24:M36)</f>
        <v>814</v>
      </c>
      <c r="O37" s="263"/>
    </row>
    <row r="38" spans="1:15" ht="12" customHeight="1">
      <c r="A38" s="395"/>
      <c r="B38" s="396"/>
      <c r="C38" s="396"/>
      <c r="D38" s="396"/>
      <c r="E38" s="396"/>
      <c r="F38" s="396"/>
      <c r="G38" s="396"/>
      <c r="H38" s="396"/>
      <c r="I38" s="397"/>
      <c r="J38" s="397"/>
      <c r="K38" s="396"/>
      <c r="L38" s="396"/>
      <c r="M38" s="398"/>
    </row>
    <row r="39" spans="1:15" s="388" customFormat="1" ht="12" customHeight="1">
      <c r="A39" s="650" t="s">
        <v>424</v>
      </c>
      <c r="B39" s="650"/>
      <c r="C39" s="650"/>
      <c r="D39" s="650"/>
      <c r="E39" s="650"/>
      <c r="F39" s="650"/>
      <c r="G39" s="650"/>
      <c r="H39" s="650"/>
      <c r="I39" s="650"/>
      <c r="J39" s="650"/>
      <c r="K39" s="650"/>
      <c r="L39" s="650"/>
      <c r="M39" s="650"/>
    </row>
    <row r="40" spans="1:15" s="388" customFormat="1" ht="12" customHeight="1">
      <c r="A40" s="620" t="s">
        <v>57</v>
      </c>
      <c r="B40" s="620"/>
      <c r="C40" s="620"/>
      <c r="D40" s="620" t="s">
        <v>58</v>
      </c>
      <c r="E40" s="620"/>
      <c r="F40" s="620"/>
      <c r="G40" s="413" t="s">
        <v>341</v>
      </c>
      <c r="H40" s="413" t="s">
        <v>118</v>
      </c>
      <c r="I40" s="389" t="s">
        <v>60</v>
      </c>
      <c r="J40" s="389" t="s">
        <v>437</v>
      </c>
      <c r="K40" s="413" t="s">
        <v>340</v>
      </c>
      <c r="L40" s="413" t="s">
        <v>416</v>
      </c>
      <c r="M40" s="413" t="s">
        <v>132</v>
      </c>
    </row>
    <row r="41" spans="1:15" s="388" customFormat="1" ht="12" customHeight="1">
      <c r="A41" s="254">
        <f t="shared" ref="A41:H53" si="28">A6</f>
        <v>0</v>
      </c>
      <c r="B41" s="254" t="str">
        <f t="shared" si="28"/>
        <v>+</v>
      </c>
      <c r="C41" s="412">
        <f t="shared" si="28"/>
        <v>15</v>
      </c>
      <c r="D41" s="254">
        <f t="shared" si="28"/>
        <v>4</v>
      </c>
      <c r="E41" s="412" t="str">
        <f t="shared" si="28"/>
        <v>+</v>
      </c>
      <c r="F41" s="412">
        <f t="shared" si="28"/>
        <v>17</v>
      </c>
      <c r="G41" s="412" t="str">
        <f t="shared" si="28"/>
        <v>RUA JOSÉ MARQUES</v>
      </c>
      <c r="H41" s="412" t="str">
        <f t="shared" si="28"/>
        <v>DIREITO</v>
      </c>
      <c r="I41" s="84">
        <f>(D41*20+F41)-(A41*20+C41)</f>
        <v>82</v>
      </c>
      <c r="J41" s="390">
        <f t="shared" ref="J41:J53" si="29">J6</f>
        <v>1.9</v>
      </c>
      <c r="K41" s="390">
        <f>TRUNC(I41*J41,2)</f>
        <v>155.80000000000001</v>
      </c>
      <c r="L41" s="390">
        <v>0.04</v>
      </c>
      <c r="M41" s="407">
        <f>TRUNC(K41*L41,2)</f>
        <v>6.23</v>
      </c>
    </row>
    <row r="42" spans="1:15" s="388" customFormat="1" ht="12" customHeight="1">
      <c r="A42" s="254">
        <f t="shared" si="28"/>
        <v>0</v>
      </c>
      <c r="B42" s="254" t="str">
        <f t="shared" si="28"/>
        <v>+</v>
      </c>
      <c r="C42" s="426">
        <f t="shared" si="28"/>
        <v>0</v>
      </c>
      <c r="D42" s="254">
        <f t="shared" si="28"/>
        <v>0</v>
      </c>
      <c r="E42" s="426" t="str">
        <f t="shared" si="28"/>
        <v>+</v>
      </c>
      <c r="F42" s="426">
        <f t="shared" si="28"/>
        <v>5</v>
      </c>
      <c r="G42" s="426" t="str">
        <f t="shared" si="28"/>
        <v>RUA JOSÉ MARQUES</v>
      </c>
      <c r="H42" s="426" t="str">
        <f t="shared" si="28"/>
        <v>ESQUERDO</v>
      </c>
      <c r="I42" s="84">
        <f t="shared" ref="I42:I53" si="30">(D42*20+F42)-(A42*20+C42)</f>
        <v>5</v>
      </c>
      <c r="J42" s="390">
        <f t="shared" si="29"/>
        <v>1.35</v>
      </c>
      <c r="K42" s="390">
        <f t="shared" ref="K42:K53" si="31">TRUNC(I42*J42,2)</f>
        <v>6.75</v>
      </c>
      <c r="L42" s="390">
        <v>0.04</v>
      </c>
      <c r="M42" s="407">
        <f t="shared" ref="M42:M53" si="32">TRUNC(K42*L42,2)</f>
        <v>0.27</v>
      </c>
    </row>
    <row r="43" spans="1:15" s="388" customFormat="1" ht="12" customHeight="1">
      <c r="A43" s="254">
        <f t="shared" si="28"/>
        <v>0</v>
      </c>
      <c r="B43" s="254" t="str">
        <f t="shared" si="28"/>
        <v>+</v>
      </c>
      <c r="C43" s="426">
        <f t="shared" si="28"/>
        <v>13</v>
      </c>
      <c r="D43" s="254">
        <f t="shared" si="28"/>
        <v>3</v>
      </c>
      <c r="E43" s="426" t="str">
        <f t="shared" si="28"/>
        <v>+</v>
      </c>
      <c r="F43" s="426">
        <f t="shared" si="28"/>
        <v>12</v>
      </c>
      <c r="G43" s="426" t="str">
        <f t="shared" si="28"/>
        <v>RUA JOSÉ MARQUES</v>
      </c>
      <c r="H43" s="426" t="str">
        <f t="shared" si="28"/>
        <v>ESQUERDO</v>
      </c>
      <c r="I43" s="84">
        <f t="shared" si="30"/>
        <v>59</v>
      </c>
      <c r="J43" s="390">
        <f t="shared" si="29"/>
        <v>1.65</v>
      </c>
      <c r="K43" s="390">
        <f t="shared" si="31"/>
        <v>97.35</v>
      </c>
      <c r="L43" s="390">
        <v>0.04</v>
      </c>
      <c r="M43" s="407">
        <f t="shared" si="32"/>
        <v>3.89</v>
      </c>
    </row>
    <row r="44" spans="1:15" s="388" customFormat="1" ht="12" customHeight="1">
      <c r="A44" s="254">
        <f t="shared" si="28"/>
        <v>4</v>
      </c>
      <c r="B44" s="254" t="str">
        <f t="shared" si="28"/>
        <v>+</v>
      </c>
      <c r="C44" s="426">
        <f t="shared" si="28"/>
        <v>4</v>
      </c>
      <c r="D44" s="254">
        <f t="shared" si="28"/>
        <v>4</v>
      </c>
      <c r="E44" s="426" t="str">
        <f t="shared" si="28"/>
        <v>+</v>
      </c>
      <c r="F44" s="426">
        <f t="shared" si="28"/>
        <v>17</v>
      </c>
      <c r="G44" s="426" t="str">
        <f t="shared" si="28"/>
        <v>RUA JOSÉ MARQUES</v>
      </c>
      <c r="H44" s="426" t="str">
        <f t="shared" si="28"/>
        <v>ESQUERDO</v>
      </c>
      <c r="I44" s="84">
        <f t="shared" si="30"/>
        <v>13</v>
      </c>
      <c r="J44" s="390">
        <f t="shared" si="29"/>
        <v>1.8</v>
      </c>
      <c r="K44" s="390">
        <f t="shared" si="31"/>
        <v>23.4</v>
      </c>
      <c r="L44" s="390">
        <v>0.04</v>
      </c>
      <c r="M44" s="407">
        <f t="shared" si="32"/>
        <v>0.93</v>
      </c>
    </row>
    <row r="45" spans="1:15" s="388" customFormat="1" ht="12" customHeight="1">
      <c r="A45" s="254">
        <f t="shared" si="28"/>
        <v>0</v>
      </c>
      <c r="B45" s="254" t="str">
        <f t="shared" si="28"/>
        <v>+</v>
      </c>
      <c r="C45" s="426">
        <f t="shared" si="28"/>
        <v>0</v>
      </c>
      <c r="D45" s="254">
        <f t="shared" si="28"/>
        <v>1</v>
      </c>
      <c r="E45" s="426" t="str">
        <f t="shared" si="28"/>
        <v>+</v>
      </c>
      <c r="F45" s="426">
        <f t="shared" si="28"/>
        <v>0</v>
      </c>
      <c r="G45" s="426" t="str">
        <f t="shared" si="28"/>
        <v>RUA VEREADOR FLÁVIO ROCHA</v>
      </c>
      <c r="H45" s="426" t="str">
        <f t="shared" si="28"/>
        <v>DIREITO</v>
      </c>
      <c r="I45" s="84">
        <f t="shared" si="30"/>
        <v>20</v>
      </c>
      <c r="J45" s="390">
        <f t="shared" si="29"/>
        <v>1.5</v>
      </c>
      <c r="K45" s="390">
        <f t="shared" si="31"/>
        <v>30</v>
      </c>
      <c r="L45" s="390">
        <v>0.04</v>
      </c>
      <c r="M45" s="407">
        <f t="shared" si="32"/>
        <v>1.2</v>
      </c>
    </row>
    <row r="46" spans="1:15" s="388" customFormat="1" ht="12" customHeight="1">
      <c r="A46" s="254">
        <f t="shared" si="28"/>
        <v>1</v>
      </c>
      <c r="B46" s="254" t="str">
        <f t="shared" si="28"/>
        <v>+</v>
      </c>
      <c r="C46" s="426">
        <f t="shared" si="28"/>
        <v>9</v>
      </c>
      <c r="D46" s="254">
        <f t="shared" si="28"/>
        <v>3</v>
      </c>
      <c r="E46" s="426" t="str">
        <f t="shared" si="28"/>
        <v>+</v>
      </c>
      <c r="F46" s="426">
        <f t="shared" si="28"/>
        <v>5</v>
      </c>
      <c r="G46" s="426" t="str">
        <f t="shared" si="28"/>
        <v>RUA VEREADOR FLÁVIO ROCHA</v>
      </c>
      <c r="H46" s="426" t="str">
        <f t="shared" si="28"/>
        <v>DIREITO</v>
      </c>
      <c r="I46" s="84">
        <f t="shared" si="30"/>
        <v>36</v>
      </c>
      <c r="J46" s="390">
        <f t="shared" si="29"/>
        <v>2.2000000000000002</v>
      </c>
      <c r="K46" s="390">
        <f t="shared" si="31"/>
        <v>79.2</v>
      </c>
      <c r="L46" s="390">
        <v>0.04</v>
      </c>
      <c r="M46" s="407">
        <f t="shared" si="32"/>
        <v>3.16</v>
      </c>
    </row>
    <row r="47" spans="1:15" s="388" customFormat="1" ht="12" customHeight="1">
      <c r="A47" s="254">
        <f t="shared" si="28"/>
        <v>3</v>
      </c>
      <c r="B47" s="254" t="str">
        <f t="shared" si="28"/>
        <v>+</v>
      </c>
      <c r="C47" s="426">
        <f t="shared" si="28"/>
        <v>12</v>
      </c>
      <c r="D47" s="254">
        <f t="shared" si="28"/>
        <v>7</v>
      </c>
      <c r="E47" s="426" t="str">
        <f t="shared" si="28"/>
        <v>+</v>
      </c>
      <c r="F47" s="426">
        <f t="shared" si="28"/>
        <v>3</v>
      </c>
      <c r="G47" s="426" t="str">
        <f t="shared" si="28"/>
        <v>RUA VEREADOR FLÁVIO ROCHA</v>
      </c>
      <c r="H47" s="426" t="str">
        <f t="shared" si="28"/>
        <v>DIREITO</v>
      </c>
      <c r="I47" s="84">
        <f t="shared" si="30"/>
        <v>71</v>
      </c>
      <c r="J47" s="390">
        <f t="shared" si="29"/>
        <v>2.2000000000000002</v>
      </c>
      <c r="K47" s="390">
        <f t="shared" si="31"/>
        <v>156.19999999999999</v>
      </c>
      <c r="L47" s="390">
        <v>0.04</v>
      </c>
      <c r="M47" s="407">
        <f t="shared" si="32"/>
        <v>6.24</v>
      </c>
    </row>
    <row r="48" spans="1:15" s="388" customFormat="1" ht="12" customHeight="1">
      <c r="A48" s="254">
        <f t="shared" si="28"/>
        <v>7</v>
      </c>
      <c r="B48" s="254" t="str">
        <f t="shared" si="28"/>
        <v>+</v>
      </c>
      <c r="C48" s="426">
        <f t="shared" si="28"/>
        <v>11</v>
      </c>
      <c r="D48" s="254">
        <f t="shared" si="28"/>
        <v>9</v>
      </c>
      <c r="E48" s="426" t="str">
        <f t="shared" si="28"/>
        <v>+</v>
      </c>
      <c r="F48" s="426">
        <f t="shared" si="28"/>
        <v>15</v>
      </c>
      <c r="G48" s="426" t="str">
        <f t="shared" si="28"/>
        <v>RUA VEREADOR FLÁVIO ROCHA</v>
      </c>
      <c r="H48" s="426" t="str">
        <f t="shared" si="28"/>
        <v>DIREITO</v>
      </c>
      <c r="I48" s="84">
        <f t="shared" si="30"/>
        <v>44</v>
      </c>
      <c r="J48" s="390">
        <f t="shared" si="29"/>
        <v>2.5499999999999998</v>
      </c>
      <c r="K48" s="390">
        <f t="shared" si="31"/>
        <v>112.2</v>
      </c>
      <c r="L48" s="390">
        <v>0.04</v>
      </c>
      <c r="M48" s="407">
        <f t="shared" si="32"/>
        <v>4.4800000000000004</v>
      </c>
    </row>
    <row r="49" spans="1:15" s="388" customFormat="1" ht="12" customHeight="1">
      <c r="A49" s="254">
        <f t="shared" si="28"/>
        <v>10</v>
      </c>
      <c r="B49" s="254" t="str">
        <f t="shared" si="28"/>
        <v>+</v>
      </c>
      <c r="C49" s="426">
        <f t="shared" si="28"/>
        <v>2</v>
      </c>
      <c r="D49" s="254">
        <f t="shared" si="28"/>
        <v>16</v>
      </c>
      <c r="E49" s="426" t="str">
        <f t="shared" si="28"/>
        <v>+</v>
      </c>
      <c r="F49" s="426">
        <f t="shared" si="28"/>
        <v>13</v>
      </c>
      <c r="G49" s="426" t="str">
        <f t="shared" si="28"/>
        <v>RUA VEREADOR FLÁVIO ROCHA</v>
      </c>
      <c r="H49" s="426" t="str">
        <f t="shared" si="28"/>
        <v>DIREITO</v>
      </c>
      <c r="I49" s="84">
        <f t="shared" si="30"/>
        <v>131</v>
      </c>
      <c r="J49" s="390">
        <f t="shared" si="29"/>
        <v>1.5</v>
      </c>
      <c r="K49" s="390">
        <f t="shared" si="31"/>
        <v>196.5</v>
      </c>
      <c r="L49" s="390">
        <v>0.04</v>
      </c>
      <c r="M49" s="407">
        <f t="shared" si="32"/>
        <v>7.86</v>
      </c>
    </row>
    <row r="50" spans="1:15" s="388" customFormat="1" ht="12" customHeight="1">
      <c r="A50" s="254">
        <f t="shared" si="28"/>
        <v>0</v>
      </c>
      <c r="B50" s="254" t="str">
        <f t="shared" si="28"/>
        <v>+</v>
      </c>
      <c r="C50" s="426">
        <f t="shared" si="28"/>
        <v>0</v>
      </c>
      <c r="D50" s="254">
        <f t="shared" si="28"/>
        <v>1</v>
      </c>
      <c r="E50" s="426" t="str">
        <f t="shared" si="28"/>
        <v>+</v>
      </c>
      <c r="F50" s="426">
        <f t="shared" si="28"/>
        <v>10</v>
      </c>
      <c r="G50" s="426" t="str">
        <f t="shared" si="28"/>
        <v>RUA VEREADOR FLÁVIO ROCHA</v>
      </c>
      <c r="H50" s="426" t="str">
        <f t="shared" si="28"/>
        <v>ESQUERDO</v>
      </c>
      <c r="I50" s="84">
        <f t="shared" si="30"/>
        <v>30</v>
      </c>
      <c r="J50" s="390">
        <f t="shared" si="29"/>
        <v>1.5</v>
      </c>
      <c r="K50" s="390">
        <f t="shared" si="31"/>
        <v>45</v>
      </c>
      <c r="L50" s="390">
        <v>0.04</v>
      </c>
      <c r="M50" s="407">
        <f t="shared" si="32"/>
        <v>1.8</v>
      </c>
    </row>
    <row r="51" spans="1:15" s="388" customFormat="1" ht="12" customHeight="1">
      <c r="A51" s="254">
        <f t="shared" si="28"/>
        <v>1</v>
      </c>
      <c r="B51" s="254" t="str">
        <f t="shared" si="28"/>
        <v>+</v>
      </c>
      <c r="C51" s="426">
        <f t="shared" si="28"/>
        <v>18</v>
      </c>
      <c r="D51" s="254">
        <f t="shared" si="28"/>
        <v>7</v>
      </c>
      <c r="E51" s="426" t="str">
        <f t="shared" si="28"/>
        <v>+</v>
      </c>
      <c r="F51" s="426">
        <f t="shared" si="28"/>
        <v>3</v>
      </c>
      <c r="G51" s="426" t="str">
        <f t="shared" si="28"/>
        <v>RUA VEREADOR FLÁVIO ROCHA</v>
      </c>
      <c r="H51" s="426" t="str">
        <f t="shared" si="28"/>
        <v>ESQUERDO</v>
      </c>
      <c r="I51" s="84">
        <f t="shared" si="30"/>
        <v>105</v>
      </c>
      <c r="J51" s="390">
        <f t="shared" si="29"/>
        <v>2</v>
      </c>
      <c r="K51" s="390">
        <f t="shared" si="31"/>
        <v>210</v>
      </c>
      <c r="L51" s="390">
        <v>0.04</v>
      </c>
      <c r="M51" s="407">
        <f t="shared" si="32"/>
        <v>8.4</v>
      </c>
    </row>
    <row r="52" spans="1:15" s="388" customFormat="1" ht="12" customHeight="1">
      <c r="A52" s="254">
        <f t="shared" si="28"/>
        <v>7</v>
      </c>
      <c r="B52" s="254" t="str">
        <f t="shared" si="28"/>
        <v>+</v>
      </c>
      <c r="C52" s="426">
        <f t="shared" si="28"/>
        <v>11</v>
      </c>
      <c r="D52" s="254">
        <f t="shared" si="28"/>
        <v>12</v>
      </c>
      <c r="E52" s="426" t="str">
        <f t="shared" si="28"/>
        <v>+</v>
      </c>
      <c r="F52" s="426">
        <f t="shared" si="28"/>
        <v>7</v>
      </c>
      <c r="G52" s="426" t="str">
        <f t="shared" si="28"/>
        <v>RUA VEREADOR FLÁVIO ROCHA</v>
      </c>
      <c r="H52" s="426" t="str">
        <f t="shared" si="28"/>
        <v>ESQUERDO</v>
      </c>
      <c r="I52" s="84">
        <f t="shared" si="30"/>
        <v>96</v>
      </c>
      <c r="J52" s="390">
        <f t="shared" si="29"/>
        <v>1.4</v>
      </c>
      <c r="K52" s="390">
        <f t="shared" si="31"/>
        <v>134.4</v>
      </c>
      <c r="L52" s="390">
        <v>0.04</v>
      </c>
      <c r="M52" s="407">
        <f t="shared" si="32"/>
        <v>5.37</v>
      </c>
    </row>
    <row r="53" spans="1:15" s="388" customFormat="1" ht="12" customHeight="1">
      <c r="A53" s="254">
        <f t="shared" si="28"/>
        <v>12</v>
      </c>
      <c r="B53" s="254" t="str">
        <f t="shared" si="28"/>
        <v>+</v>
      </c>
      <c r="C53" s="426">
        <f t="shared" si="28"/>
        <v>15</v>
      </c>
      <c r="D53" s="254">
        <f t="shared" si="28"/>
        <v>16</v>
      </c>
      <c r="E53" s="426" t="str">
        <f t="shared" si="28"/>
        <v>+</v>
      </c>
      <c r="F53" s="426">
        <f t="shared" si="28"/>
        <v>13</v>
      </c>
      <c r="G53" s="426" t="str">
        <f t="shared" si="28"/>
        <v>RUA VEREADOR FLÁVIO ROCHA</v>
      </c>
      <c r="H53" s="426" t="str">
        <f t="shared" si="28"/>
        <v>ESQUERDO</v>
      </c>
      <c r="I53" s="84">
        <f t="shared" si="30"/>
        <v>78</v>
      </c>
      <c r="J53" s="390">
        <f t="shared" si="29"/>
        <v>1.4</v>
      </c>
      <c r="K53" s="390">
        <f t="shared" si="31"/>
        <v>109.2</v>
      </c>
      <c r="L53" s="390">
        <v>0.04</v>
      </c>
      <c r="M53" s="407">
        <f t="shared" si="32"/>
        <v>4.3600000000000003</v>
      </c>
    </row>
    <row r="54" spans="1:15" s="35" customFormat="1" ht="12" customHeight="1">
      <c r="A54" s="649" t="s">
        <v>421</v>
      </c>
      <c r="B54" s="649"/>
      <c r="C54" s="649"/>
      <c r="D54" s="649"/>
      <c r="E54" s="649"/>
      <c r="F54" s="649"/>
      <c r="G54" s="649"/>
      <c r="H54" s="649"/>
      <c r="I54" s="649"/>
      <c r="J54" s="649"/>
      <c r="K54" s="649"/>
      <c r="L54" s="649"/>
      <c r="M54" s="394">
        <f>SUM(M41:M53)</f>
        <v>54.19</v>
      </c>
      <c r="O54" s="263"/>
    </row>
    <row r="55" spans="1:15" ht="12" customHeight="1">
      <c r="A55" s="399"/>
      <c r="B55" s="400"/>
      <c r="C55" s="400"/>
      <c r="D55" s="400"/>
      <c r="E55" s="400"/>
      <c r="F55" s="400"/>
      <c r="G55" s="400"/>
      <c r="H55" s="400"/>
      <c r="I55" s="401"/>
      <c r="J55" s="401"/>
      <c r="K55" s="400"/>
      <c r="L55" s="400"/>
      <c r="M55" s="402"/>
    </row>
    <row r="56" spans="1:15" ht="12" customHeight="1">
      <c r="A56" s="624" t="s">
        <v>425</v>
      </c>
      <c r="B56" s="625"/>
      <c r="C56" s="625"/>
      <c r="D56" s="625"/>
      <c r="E56" s="625"/>
      <c r="F56" s="625"/>
      <c r="G56" s="625"/>
      <c r="H56" s="625"/>
      <c r="I56" s="625"/>
      <c r="J56" s="625"/>
      <c r="K56" s="625"/>
      <c r="L56" s="625"/>
      <c r="M56" s="626"/>
    </row>
    <row r="57" spans="1:15" s="388" customFormat="1" ht="12" customHeight="1">
      <c r="A57" s="620" t="s">
        <v>57</v>
      </c>
      <c r="B57" s="620"/>
      <c r="C57" s="620"/>
      <c r="D57" s="620" t="s">
        <v>58</v>
      </c>
      <c r="E57" s="620"/>
      <c r="F57" s="620"/>
      <c r="G57" s="413" t="s">
        <v>341</v>
      </c>
      <c r="H57" s="413" t="s">
        <v>118</v>
      </c>
      <c r="I57" s="389" t="s">
        <v>60</v>
      </c>
      <c r="J57" s="389" t="s">
        <v>437</v>
      </c>
      <c r="K57" s="413" t="s">
        <v>340</v>
      </c>
      <c r="L57" s="413" t="s">
        <v>416</v>
      </c>
      <c r="M57" s="413" t="s">
        <v>132</v>
      </c>
    </row>
    <row r="58" spans="1:15" s="388" customFormat="1" ht="12" customHeight="1">
      <c r="A58" s="254">
        <f>A41</f>
        <v>0</v>
      </c>
      <c r="B58" s="254" t="str">
        <f t="shared" ref="B58:H58" si="33">B41</f>
        <v>+</v>
      </c>
      <c r="C58" s="426">
        <f t="shared" si="33"/>
        <v>15</v>
      </c>
      <c r="D58" s="254">
        <f t="shared" si="33"/>
        <v>4</v>
      </c>
      <c r="E58" s="426" t="str">
        <f t="shared" si="33"/>
        <v>+</v>
      </c>
      <c r="F58" s="426">
        <f t="shared" si="33"/>
        <v>17</v>
      </c>
      <c r="G58" s="426" t="str">
        <f t="shared" si="33"/>
        <v>RUA JOSÉ MARQUES</v>
      </c>
      <c r="H58" s="426" t="str">
        <f t="shared" si="33"/>
        <v>DIREITO</v>
      </c>
      <c r="I58" s="84">
        <f t="shared" ref="I58:I67" si="34">(D58*20+F58)-(A58*20+C58)</f>
        <v>82</v>
      </c>
      <c r="J58" s="390">
        <f>J41</f>
        <v>1.9</v>
      </c>
      <c r="K58" s="390">
        <f t="shared" ref="K58:K67" si="35">TRUNC(I58*J58,2)</f>
        <v>155.80000000000001</v>
      </c>
      <c r="L58" s="390">
        <v>0.05</v>
      </c>
      <c r="M58" s="407">
        <f>TRUNC(K58*L58,2)</f>
        <v>7.79</v>
      </c>
      <c r="N58" s="410"/>
    </row>
    <row r="59" spans="1:15" s="388" customFormat="1" ht="12" customHeight="1">
      <c r="A59" s="254">
        <f t="shared" ref="A59:H59" si="36">A42</f>
        <v>0</v>
      </c>
      <c r="B59" s="254" t="str">
        <f t="shared" si="36"/>
        <v>+</v>
      </c>
      <c r="C59" s="426">
        <f t="shared" si="36"/>
        <v>0</v>
      </c>
      <c r="D59" s="254">
        <f t="shared" si="36"/>
        <v>0</v>
      </c>
      <c r="E59" s="426" t="str">
        <f t="shared" si="36"/>
        <v>+</v>
      </c>
      <c r="F59" s="426">
        <f t="shared" si="36"/>
        <v>5</v>
      </c>
      <c r="G59" s="426" t="str">
        <f t="shared" si="36"/>
        <v>RUA JOSÉ MARQUES</v>
      </c>
      <c r="H59" s="426" t="str">
        <f t="shared" si="36"/>
        <v>ESQUERDO</v>
      </c>
      <c r="I59" s="84">
        <f t="shared" si="34"/>
        <v>5</v>
      </c>
      <c r="J59" s="390">
        <f t="shared" ref="J59:J70" si="37">J42</f>
        <v>1.35</v>
      </c>
      <c r="K59" s="390">
        <f t="shared" si="35"/>
        <v>6.75</v>
      </c>
      <c r="L59" s="390">
        <v>0.05</v>
      </c>
      <c r="M59" s="407">
        <f>TRUNC(K59*L59,2)</f>
        <v>0.33</v>
      </c>
      <c r="N59" s="410"/>
    </row>
    <row r="60" spans="1:15" s="388" customFormat="1" ht="12" customHeight="1">
      <c r="A60" s="254">
        <f t="shared" ref="A60:H60" si="38">A43</f>
        <v>0</v>
      </c>
      <c r="B60" s="254" t="str">
        <f t="shared" si="38"/>
        <v>+</v>
      </c>
      <c r="C60" s="426">
        <f t="shared" si="38"/>
        <v>13</v>
      </c>
      <c r="D60" s="254">
        <f t="shared" si="38"/>
        <v>3</v>
      </c>
      <c r="E60" s="426" t="str">
        <f t="shared" si="38"/>
        <v>+</v>
      </c>
      <c r="F60" s="426">
        <f t="shared" si="38"/>
        <v>12</v>
      </c>
      <c r="G60" s="426" t="str">
        <f t="shared" si="38"/>
        <v>RUA JOSÉ MARQUES</v>
      </c>
      <c r="H60" s="426" t="str">
        <f t="shared" si="38"/>
        <v>ESQUERDO</v>
      </c>
      <c r="I60" s="84">
        <f t="shared" si="34"/>
        <v>59</v>
      </c>
      <c r="J60" s="390">
        <f t="shared" si="37"/>
        <v>1.65</v>
      </c>
      <c r="K60" s="390">
        <f t="shared" si="35"/>
        <v>97.35</v>
      </c>
      <c r="L60" s="390">
        <v>0.05</v>
      </c>
      <c r="M60" s="407">
        <f t="shared" ref="M60:M62" si="39">TRUNC(K60*L60,2)</f>
        <v>4.8600000000000003</v>
      </c>
      <c r="N60" s="410"/>
    </row>
    <row r="61" spans="1:15" s="388" customFormat="1" ht="12" customHeight="1">
      <c r="A61" s="254">
        <f t="shared" ref="A61:H61" si="40">A44</f>
        <v>4</v>
      </c>
      <c r="B61" s="254" t="str">
        <f t="shared" si="40"/>
        <v>+</v>
      </c>
      <c r="C61" s="426">
        <f t="shared" si="40"/>
        <v>4</v>
      </c>
      <c r="D61" s="254">
        <f t="shared" si="40"/>
        <v>4</v>
      </c>
      <c r="E61" s="426" t="str">
        <f t="shared" si="40"/>
        <v>+</v>
      </c>
      <c r="F61" s="426">
        <f t="shared" si="40"/>
        <v>17</v>
      </c>
      <c r="G61" s="426" t="str">
        <f t="shared" si="40"/>
        <v>RUA JOSÉ MARQUES</v>
      </c>
      <c r="H61" s="426" t="str">
        <f t="shared" si="40"/>
        <v>ESQUERDO</v>
      </c>
      <c r="I61" s="84">
        <f t="shared" si="34"/>
        <v>13</v>
      </c>
      <c r="J61" s="390">
        <f t="shared" si="37"/>
        <v>1.8</v>
      </c>
      <c r="K61" s="390">
        <f t="shared" si="35"/>
        <v>23.4</v>
      </c>
      <c r="L61" s="390">
        <v>0.05</v>
      </c>
      <c r="M61" s="407">
        <f t="shared" si="39"/>
        <v>1.17</v>
      </c>
      <c r="N61" s="410"/>
    </row>
    <row r="62" spans="1:15" s="388" customFormat="1" ht="12" customHeight="1">
      <c r="A62" s="254">
        <f t="shared" ref="A62:H62" si="41">A45</f>
        <v>0</v>
      </c>
      <c r="B62" s="254" t="str">
        <f t="shared" si="41"/>
        <v>+</v>
      </c>
      <c r="C62" s="426">
        <f t="shared" si="41"/>
        <v>0</v>
      </c>
      <c r="D62" s="254">
        <f t="shared" si="41"/>
        <v>1</v>
      </c>
      <c r="E62" s="426" t="str">
        <f t="shared" si="41"/>
        <v>+</v>
      </c>
      <c r="F62" s="426">
        <f t="shared" si="41"/>
        <v>0</v>
      </c>
      <c r="G62" s="426" t="str">
        <f t="shared" si="41"/>
        <v>RUA VEREADOR FLÁVIO ROCHA</v>
      </c>
      <c r="H62" s="426" t="str">
        <f t="shared" si="41"/>
        <v>DIREITO</v>
      </c>
      <c r="I62" s="84">
        <f t="shared" si="34"/>
        <v>20</v>
      </c>
      <c r="J62" s="390">
        <f t="shared" si="37"/>
        <v>1.5</v>
      </c>
      <c r="K62" s="390">
        <f t="shared" si="35"/>
        <v>30</v>
      </c>
      <c r="L62" s="390">
        <v>0.05</v>
      </c>
      <c r="M62" s="407">
        <f t="shared" si="39"/>
        <v>1.5</v>
      </c>
      <c r="N62" s="410"/>
    </row>
    <row r="63" spans="1:15" s="388" customFormat="1" ht="12" customHeight="1">
      <c r="A63" s="254">
        <f t="shared" ref="A63:H63" si="42">A46</f>
        <v>1</v>
      </c>
      <c r="B63" s="254" t="str">
        <f t="shared" si="42"/>
        <v>+</v>
      </c>
      <c r="C63" s="426">
        <f t="shared" si="42"/>
        <v>9</v>
      </c>
      <c r="D63" s="254">
        <f t="shared" si="42"/>
        <v>3</v>
      </c>
      <c r="E63" s="426" t="str">
        <f t="shared" si="42"/>
        <v>+</v>
      </c>
      <c r="F63" s="426">
        <f t="shared" si="42"/>
        <v>5</v>
      </c>
      <c r="G63" s="426" t="str">
        <f t="shared" si="42"/>
        <v>RUA VEREADOR FLÁVIO ROCHA</v>
      </c>
      <c r="H63" s="426" t="str">
        <f t="shared" si="42"/>
        <v>DIREITO</v>
      </c>
      <c r="I63" s="84">
        <f t="shared" si="34"/>
        <v>36</v>
      </c>
      <c r="J63" s="390">
        <f t="shared" si="37"/>
        <v>2.2000000000000002</v>
      </c>
      <c r="K63" s="390">
        <f t="shared" si="35"/>
        <v>79.2</v>
      </c>
      <c r="L63" s="390">
        <v>0.05</v>
      </c>
      <c r="M63" s="407">
        <f>TRUNC(K63*L63,2)</f>
        <v>3.96</v>
      </c>
      <c r="N63" s="410"/>
    </row>
    <row r="64" spans="1:15" s="388" customFormat="1" ht="12" customHeight="1">
      <c r="A64" s="254">
        <f t="shared" ref="A64:H64" si="43">A47</f>
        <v>3</v>
      </c>
      <c r="B64" s="254" t="str">
        <f t="shared" si="43"/>
        <v>+</v>
      </c>
      <c r="C64" s="426">
        <f t="shared" si="43"/>
        <v>12</v>
      </c>
      <c r="D64" s="254">
        <f t="shared" si="43"/>
        <v>7</v>
      </c>
      <c r="E64" s="426" t="str">
        <f t="shared" si="43"/>
        <v>+</v>
      </c>
      <c r="F64" s="426">
        <f t="shared" si="43"/>
        <v>3</v>
      </c>
      <c r="G64" s="426" t="str">
        <f t="shared" si="43"/>
        <v>RUA VEREADOR FLÁVIO ROCHA</v>
      </c>
      <c r="H64" s="426" t="str">
        <f t="shared" si="43"/>
        <v>DIREITO</v>
      </c>
      <c r="I64" s="84">
        <f t="shared" si="34"/>
        <v>71</v>
      </c>
      <c r="J64" s="390">
        <f t="shared" si="37"/>
        <v>2.2000000000000002</v>
      </c>
      <c r="K64" s="390">
        <f t="shared" si="35"/>
        <v>156.19999999999999</v>
      </c>
      <c r="L64" s="390">
        <v>0.05</v>
      </c>
      <c r="M64" s="407">
        <f>TRUNC(K64*L64,2)</f>
        <v>7.81</v>
      </c>
      <c r="N64" s="410"/>
    </row>
    <row r="65" spans="1:14" s="388" customFormat="1" ht="12" customHeight="1">
      <c r="A65" s="254">
        <f t="shared" ref="A65:H65" si="44">A48</f>
        <v>7</v>
      </c>
      <c r="B65" s="254" t="str">
        <f t="shared" si="44"/>
        <v>+</v>
      </c>
      <c r="C65" s="426">
        <f t="shared" si="44"/>
        <v>11</v>
      </c>
      <c r="D65" s="254">
        <f t="shared" si="44"/>
        <v>9</v>
      </c>
      <c r="E65" s="426" t="str">
        <f t="shared" si="44"/>
        <v>+</v>
      </c>
      <c r="F65" s="426">
        <f t="shared" si="44"/>
        <v>15</v>
      </c>
      <c r="G65" s="426" t="str">
        <f t="shared" si="44"/>
        <v>RUA VEREADOR FLÁVIO ROCHA</v>
      </c>
      <c r="H65" s="426" t="str">
        <f t="shared" si="44"/>
        <v>DIREITO</v>
      </c>
      <c r="I65" s="84">
        <f t="shared" si="34"/>
        <v>44</v>
      </c>
      <c r="J65" s="390">
        <f t="shared" si="37"/>
        <v>2.5499999999999998</v>
      </c>
      <c r="K65" s="390">
        <f t="shared" si="35"/>
        <v>112.2</v>
      </c>
      <c r="L65" s="390">
        <v>0.05</v>
      </c>
      <c r="M65" s="407">
        <f t="shared" ref="M65:M67" si="45">TRUNC(K65*L65,2)</f>
        <v>5.61</v>
      </c>
      <c r="N65" s="410"/>
    </row>
    <row r="66" spans="1:14" s="388" customFormat="1" ht="12" customHeight="1">
      <c r="A66" s="254">
        <f t="shared" ref="A66:H66" si="46">A49</f>
        <v>10</v>
      </c>
      <c r="B66" s="254" t="str">
        <f t="shared" si="46"/>
        <v>+</v>
      </c>
      <c r="C66" s="426">
        <f t="shared" si="46"/>
        <v>2</v>
      </c>
      <c r="D66" s="254">
        <f t="shared" si="46"/>
        <v>16</v>
      </c>
      <c r="E66" s="426" t="str">
        <f t="shared" si="46"/>
        <v>+</v>
      </c>
      <c r="F66" s="426">
        <f t="shared" si="46"/>
        <v>13</v>
      </c>
      <c r="G66" s="426" t="str">
        <f t="shared" si="46"/>
        <v>RUA VEREADOR FLÁVIO ROCHA</v>
      </c>
      <c r="H66" s="426" t="str">
        <f t="shared" si="46"/>
        <v>DIREITO</v>
      </c>
      <c r="I66" s="84">
        <f t="shared" si="34"/>
        <v>131</v>
      </c>
      <c r="J66" s="390">
        <f t="shared" si="37"/>
        <v>1.5</v>
      </c>
      <c r="K66" s="390">
        <f t="shared" si="35"/>
        <v>196.5</v>
      </c>
      <c r="L66" s="390">
        <v>0.05</v>
      </c>
      <c r="M66" s="407">
        <f t="shared" si="45"/>
        <v>9.82</v>
      </c>
      <c r="N66" s="410"/>
    </row>
    <row r="67" spans="1:14" s="388" customFormat="1" ht="12" customHeight="1">
      <c r="A67" s="254">
        <f t="shared" ref="A67:H67" si="47">A50</f>
        <v>0</v>
      </c>
      <c r="B67" s="254" t="str">
        <f t="shared" si="47"/>
        <v>+</v>
      </c>
      <c r="C67" s="426">
        <f t="shared" si="47"/>
        <v>0</v>
      </c>
      <c r="D67" s="254">
        <f t="shared" si="47"/>
        <v>1</v>
      </c>
      <c r="E67" s="426" t="str">
        <f t="shared" si="47"/>
        <v>+</v>
      </c>
      <c r="F67" s="426">
        <f t="shared" si="47"/>
        <v>10</v>
      </c>
      <c r="G67" s="426" t="str">
        <f t="shared" si="47"/>
        <v>RUA VEREADOR FLÁVIO ROCHA</v>
      </c>
      <c r="H67" s="426" t="str">
        <f t="shared" si="47"/>
        <v>ESQUERDO</v>
      </c>
      <c r="I67" s="84">
        <f t="shared" si="34"/>
        <v>30</v>
      </c>
      <c r="J67" s="390">
        <f t="shared" si="37"/>
        <v>1.5</v>
      </c>
      <c r="K67" s="390">
        <f t="shared" si="35"/>
        <v>45</v>
      </c>
      <c r="L67" s="390">
        <v>0.05</v>
      </c>
      <c r="M67" s="407">
        <f t="shared" si="45"/>
        <v>2.25</v>
      </c>
      <c r="N67" s="410"/>
    </row>
    <row r="68" spans="1:14" s="388" customFormat="1" ht="12" customHeight="1">
      <c r="A68" s="254">
        <f t="shared" ref="A68:H68" si="48">A51</f>
        <v>1</v>
      </c>
      <c r="B68" s="254" t="str">
        <f t="shared" si="48"/>
        <v>+</v>
      </c>
      <c r="C68" s="426">
        <f t="shared" si="48"/>
        <v>18</v>
      </c>
      <c r="D68" s="254">
        <f t="shared" si="48"/>
        <v>7</v>
      </c>
      <c r="E68" s="426" t="str">
        <f t="shared" si="48"/>
        <v>+</v>
      </c>
      <c r="F68" s="426">
        <f t="shared" si="48"/>
        <v>3</v>
      </c>
      <c r="G68" s="426" t="str">
        <f t="shared" si="48"/>
        <v>RUA VEREADOR FLÁVIO ROCHA</v>
      </c>
      <c r="H68" s="426" t="str">
        <f t="shared" si="48"/>
        <v>ESQUERDO</v>
      </c>
      <c r="I68" s="84">
        <f t="shared" ref="I68:I77" si="49">(D68*20+F68)-(A68*20+C68)</f>
        <v>105</v>
      </c>
      <c r="J68" s="390">
        <f t="shared" si="37"/>
        <v>2</v>
      </c>
      <c r="K68" s="390">
        <f t="shared" ref="K68:K77" si="50">TRUNC(I68*J68,2)</f>
        <v>210</v>
      </c>
      <c r="L68" s="390">
        <v>0.05</v>
      </c>
      <c r="M68" s="407">
        <f>TRUNC(K68*L68,2)</f>
        <v>10.5</v>
      </c>
      <c r="N68" s="410"/>
    </row>
    <row r="69" spans="1:14" s="388" customFormat="1" ht="12" customHeight="1">
      <c r="A69" s="254">
        <f t="shared" ref="A69:H69" si="51">A52</f>
        <v>7</v>
      </c>
      <c r="B69" s="254" t="str">
        <f t="shared" si="51"/>
        <v>+</v>
      </c>
      <c r="C69" s="426">
        <f t="shared" si="51"/>
        <v>11</v>
      </c>
      <c r="D69" s="254">
        <f t="shared" si="51"/>
        <v>12</v>
      </c>
      <c r="E69" s="426" t="str">
        <f t="shared" si="51"/>
        <v>+</v>
      </c>
      <c r="F69" s="426">
        <f t="shared" si="51"/>
        <v>7</v>
      </c>
      <c r="G69" s="426" t="str">
        <f t="shared" si="51"/>
        <v>RUA VEREADOR FLÁVIO ROCHA</v>
      </c>
      <c r="H69" s="426" t="str">
        <f t="shared" si="51"/>
        <v>ESQUERDO</v>
      </c>
      <c r="I69" s="84">
        <f t="shared" si="49"/>
        <v>96</v>
      </c>
      <c r="J69" s="390">
        <f t="shared" si="37"/>
        <v>1.4</v>
      </c>
      <c r="K69" s="390">
        <f t="shared" si="50"/>
        <v>134.4</v>
      </c>
      <c r="L69" s="390">
        <v>0.05</v>
      </c>
      <c r="M69" s="407">
        <f>TRUNC(K69*L69,2)</f>
        <v>6.72</v>
      </c>
      <c r="N69" s="410"/>
    </row>
    <row r="70" spans="1:14" s="388" customFormat="1" ht="12" customHeight="1">
      <c r="A70" s="254">
        <f t="shared" ref="A70:H70" si="52">A53</f>
        <v>12</v>
      </c>
      <c r="B70" s="254" t="str">
        <f t="shared" si="52"/>
        <v>+</v>
      </c>
      <c r="C70" s="426">
        <f t="shared" si="52"/>
        <v>15</v>
      </c>
      <c r="D70" s="254">
        <f t="shared" si="52"/>
        <v>16</v>
      </c>
      <c r="E70" s="426" t="str">
        <f t="shared" si="52"/>
        <v>+</v>
      </c>
      <c r="F70" s="426">
        <f t="shared" si="52"/>
        <v>13</v>
      </c>
      <c r="G70" s="426" t="str">
        <f t="shared" si="52"/>
        <v>RUA VEREADOR FLÁVIO ROCHA</v>
      </c>
      <c r="H70" s="426" t="str">
        <f t="shared" si="52"/>
        <v>ESQUERDO</v>
      </c>
      <c r="I70" s="84">
        <f t="shared" si="49"/>
        <v>78</v>
      </c>
      <c r="J70" s="390">
        <f t="shared" si="37"/>
        <v>1.4</v>
      </c>
      <c r="K70" s="390">
        <f t="shared" si="50"/>
        <v>109.2</v>
      </c>
      <c r="L70" s="390">
        <v>0.05</v>
      </c>
      <c r="M70" s="407">
        <f t="shared" ref="M70:M72" si="53">TRUNC(K70*L70,2)</f>
        <v>5.46</v>
      </c>
      <c r="N70" s="410"/>
    </row>
    <row r="71" spans="1:14" s="388" customFormat="1" ht="12" customHeight="1">
      <c r="A71" s="254">
        <f>A58</f>
        <v>0</v>
      </c>
      <c r="B71" s="254" t="str">
        <f t="shared" ref="B71:H71" si="54">B58</f>
        <v>+</v>
      </c>
      <c r="C71" s="426">
        <f t="shared" si="54"/>
        <v>15</v>
      </c>
      <c r="D71" s="254">
        <f t="shared" si="54"/>
        <v>4</v>
      </c>
      <c r="E71" s="254" t="str">
        <f t="shared" si="54"/>
        <v>+</v>
      </c>
      <c r="F71" s="426">
        <f t="shared" si="54"/>
        <v>17</v>
      </c>
      <c r="G71" s="254" t="str">
        <f t="shared" si="54"/>
        <v>RUA JOSÉ MARQUES</v>
      </c>
      <c r="H71" s="254" t="str">
        <f t="shared" si="54"/>
        <v>DIREITO</v>
      </c>
      <c r="I71" s="84">
        <f t="shared" si="49"/>
        <v>82</v>
      </c>
      <c r="J71" s="390">
        <f>J58-0.45</f>
        <v>1.45</v>
      </c>
      <c r="K71" s="390">
        <f t="shared" si="50"/>
        <v>118.9</v>
      </c>
      <c r="L71" s="411">
        <v>2.5000000000000001E-2</v>
      </c>
      <c r="M71" s="407">
        <f t="shared" si="53"/>
        <v>2.97</v>
      </c>
      <c r="N71" s="410"/>
    </row>
    <row r="72" spans="1:14" s="388" customFormat="1" ht="12" customHeight="1">
      <c r="A72" s="254">
        <f t="shared" ref="A72:H72" si="55">A59</f>
        <v>0</v>
      </c>
      <c r="B72" s="254" t="str">
        <f t="shared" si="55"/>
        <v>+</v>
      </c>
      <c r="C72" s="426">
        <f t="shared" si="55"/>
        <v>0</v>
      </c>
      <c r="D72" s="254">
        <f t="shared" si="55"/>
        <v>0</v>
      </c>
      <c r="E72" s="254" t="str">
        <f t="shared" si="55"/>
        <v>+</v>
      </c>
      <c r="F72" s="426">
        <f t="shared" si="55"/>
        <v>5</v>
      </c>
      <c r="G72" s="254" t="str">
        <f t="shared" si="55"/>
        <v>RUA JOSÉ MARQUES</v>
      </c>
      <c r="H72" s="254" t="str">
        <f t="shared" si="55"/>
        <v>ESQUERDO</v>
      </c>
      <c r="I72" s="84">
        <f t="shared" si="49"/>
        <v>5</v>
      </c>
      <c r="J72" s="390">
        <f t="shared" ref="J72:J83" si="56">J59-0.45</f>
        <v>0.90000000000000013</v>
      </c>
      <c r="K72" s="390">
        <f t="shared" si="50"/>
        <v>4.5</v>
      </c>
      <c r="L72" s="411">
        <v>2.5000000000000001E-2</v>
      </c>
      <c r="M72" s="407">
        <f t="shared" si="53"/>
        <v>0.11</v>
      </c>
      <c r="N72" s="410"/>
    </row>
    <row r="73" spans="1:14" s="388" customFormat="1" ht="12" customHeight="1">
      <c r="A73" s="254">
        <f t="shared" ref="A73:H73" si="57">A60</f>
        <v>0</v>
      </c>
      <c r="B73" s="254" t="str">
        <f t="shared" si="57"/>
        <v>+</v>
      </c>
      <c r="C73" s="426">
        <f t="shared" si="57"/>
        <v>13</v>
      </c>
      <c r="D73" s="254">
        <f t="shared" si="57"/>
        <v>3</v>
      </c>
      <c r="E73" s="254" t="str">
        <f t="shared" si="57"/>
        <v>+</v>
      </c>
      <c r="F73" s="426">
        <f t="shared" si="57"/>
        <v>12</v>
      </c>
      <c r="G73" s="254" t="str">
        <f t="shared" si="57"/>
        <v>RUA JOSÉ MARQUES</v>
      </c>
      <c r="H73" s="254" t="str">
        <f t="shared" si="57"/>
        <v>ESQUERDO</v>
      </c>
      <c r="I73" s="84">
        <f t="shared" si="49"/>
        <v>59</v>
      </c>
      <c r="J73" s="390">
        <f t="shared" si="56"/>
        <v>1.2</v>
      </c>
      <c r="K73" s="390">
        <f t="shared" si="50"/>
        <v>70.8</v>
      </c>
      <c r="L73" s="411">
        <v>2.5000000000000001E-2</v>
      </c>
      <c r="M73" s="407">
        <f>TRUNC(K73*L73,2)</f>
        <v>1.77</v>
      </c>
      <c r="N73" s="410"/>
    </row>
    <row r="74" spans="1:14" s="388" customFormat="1" ht="12" customHeight="1">
      <c r="A74" s="254">
        <f t="shared" ref="A74:H74" si="58">A61</f>
        <v>4</v>
      </c>
      <c r="B74" s="254" t="str">
        <f t="shared" si="58"/>
        <v>+</v>
      </c>
      <c r="C74" s="426">
        <f t="shared" si="58"/>
        <v>4</v>
      </c>
      <c r="D74" s="254">
        <f t="shared" si="58"/>
        <v>4</v>
      </c>
      <c r="E74" s="254" t="str">
        <f t="shared" si="58"/>
        <v>+</v>
      </c>
      <c r="F74" s="426">
        <f t="shared" si="58"/>
        <v>17</v>
      </c>
      <c r="G74" s="254" t="str">
        <f t="shared" si="58"/>
        <v>RUA JOSÉ MARQUES</v>
      </c>
      <c r="H74" s="254" t="str">
        <f t="shared" si="58"/>
        <v>ESQUERDO</v>
      </c>
      <c r="I74" s="84">
        <f t="shared" si="49"/>
        <v>13</v>
      </c>
      <c r="J74" s="390">
        <f t="shared" si="56"/>
        <v>1.35</v>
      </c>
      <c r="K74" s="390">
        <f t="shared" si="50"/>
        <v>17.55</v>
      </c>
      <c r="L74" s="411">
        <v>2.5000000000000001E-2</v>
      </c>
      <c r="M74" s="407">
        <f>TRUNC(K74*L74,2)</f>
        <v>0.43</v>
      </c>
      <c r="N74" s="410"/>
    </row>
    <row r="75" spans="1:14" s="388" customFormat="1" ht="12" customHeight="1">
      <c r="A75" s="254">
        <f t="shared" ref="A75:H75" si="59">A62</f>
        <v>0</v>
      </c>
      <c r="B75" s="254" t="str">
        <f t="shared" si="59"/>
        <v>+</v>
      </c>
      <c r="C75" s="426">
        <f t="shared" si="59"/>
        <v>0</v>
      </c>
      <c r="D75" s="254">
        <f t="shared" si="59"/>
        <v>1</v>
      </c>
      <c r="E75" s="254" t="str">
        <f t="shared" si="59"/>
        <v>+</v>
      </c>
      <c r="F75" s="426">
        <f t="shared" si="59"/>
        <v>0</v>
      </c>
      <c r="G75" s="254" t="str">
        <f t="shared" si="59"/>
        <v>RUA VEREADOR FLÁVIO ROCHA</v>
      </c>
      <c r="H75" s="254" t="str">
        <f t="shared" si="59"/>
        <v>DIREITO</v>
      </c>
      <c r="I75" s="84">
        <f t="shared" si="49"/>
        <v>20</v>
      </c>
      <c r="J75" s="390">
        <f t="shared" si="56"/>
        <v>1.05</v>
      </c>
      <c r="K75" s="390">
        <f t="shared" si="50"/>
        <v>21</v>
      </c>
      <c r="L75" s="411">
        <v>2.5000000000000001E-2</v>
      </c>
      <c r="M75" s="407">
        <f t="shared" ref="M75:M77" si="60">TRUNC(K75*L75,2)</f>
        <v>0.52</v>
      </c>
      <c r="N75" s="410"/>
    </row>
    <row r="76" spans="1:14" s="388" customFormat="1" ht="12" customHeight="1">
      <c r="A76" s="254">
        <f t="shared" ref="A76:H76" si="61">A63</f>
        <v>1</v>
      </c>
      <c r="B76" s="254" t="str">
        <f t="shared" si="61"/>
        <v>+</v>
      </c>
      <c r="C76" s="426">
        <f t="shared" si="61"/>
        <v>9</v>
      </c>
      <c r="D76" s="254">
        <f t="shared" si="61"/>
        <v>3</v>
      </c>
      <c r="E76" s="254" t="str">
        <f t="shared" si="61"/>
        <v>+</v>
      </c>
      <c r="F76" s="426">
        <f t="shared" si="61"/>
        <v>5</v>
      </c>
      <c r="G76" s="254" t="str">
        <f t="shared" si="61"/>
        <v>RUA VEREADOR FLÁVIO ROCHA</v>
      </c>
      <c r="H76" s="254" t="str">
        <f t="shared" si="61"/>
        <v>DIREITO</v>
      </c>
      <c r="I76" s="84">
        <f t="shared" si="49"/>
        <v>36</v>
      </c>
      <c r="J76" s="390">
        <f t="shared" si="56"/>
        <v>1.7500000000000002</v>
      </c>
      <c r="K76" s="390">
        <f t="shared" si="50"/>
        <v>63</v>
      </c>
      <c r="L76" s="411">
        <v>2.5000000000000001E-2</v>
      </c>
      <c r="M76" s="407">
        <f t="shared" si="60"/>
        <v>1.57</v>
      </c>
      <c r="N76" s="410"/>
    </row>
    <row r="77" spans="1:14" s="388" customFormat="1" ht="12" customHeight="1">
      <c r="A77" s="254">
        <f t="shared" ref="A77:H77" si="62">A64</f>
        <v>3</v>
      </c>
      <c r="B77" s="254" t="str">
        <f t="shared" si="62"/>
        <v>+</v>
      </c>
      <c r="C77" s="426">
        <f t="shared" si="62"/>
        <v>12</v>
      </c>
      <c r="D77" s="254">
        <f t="shared" si="62"/>
        <v>7</v>
      </c>
      <c r="E77" s="254" t="str">
        <f t="shared" si="62"/>
        <v>+</v>
      </c>
      <c r="F77" s="426">
        <f t="shared" si="62"/>
        <v>3</v>
      </c>
      <c r="G77" s="254" t="str">
        <f t="shared" si="62"/>
        <v>RUA VEREADOR FLÁVIO ROCHA</v>
      </c>
      <c r="H77" s="254" t="str">
        <f t="shared" si="62"/>
        <v>DIREITO</v>
      </c>
      <c r="I77" s="84">
        <f t="shared" si="49"/>
        <v>71</v>
      </c>
      <c r="J77" s="390">
        <f t="shared" si="56"/>
        <v>1.7500000000000002</v>
      </c>
      <c r="K77" s="390">
        <f t="shared" si="50"/>
        <v>124.25</v>
      </c>
      <c r="L77" s="411">
        <v>2.5000000000000001E-2</v>
      </c>
      <c r="M77" s="407">
        <f t="shared" si="60"/>
        <v>3.1</v>
      </c>
      <c r="N77" s="410"/>
    </row>
    <row r="78" spans="1:14" s="388" customFormat="1" ht="12" customHeight="1">
      <c r="A78" s="254">
        <f t="shared" ref="A78:H78" si="63">A65</f>
        <v>7</v>
      </c>
      <c r="B78" s="254" t="str">
        <f t="shared" si="63"/>
        <v>+</v>
      </c>
      <c r="C78" s="426">
        <f t="shared" si="63"/>
        <v>11</v>
      </c>
      <c r="D78" s="254">
        <f t="shared" si="63"/>
        <v>9</v>
      </c>
      <c r="E78" s="254" t="str">
        <f t="shared" si="63"/>
        <v>+</v>
      </c>
      <c r="F78" s="426">
        <f t="shared" si="63"/>
        <v>15</v>
      </c>
      <c r="G78" s="254" t="str">
        <f t="shared" si="63"/>
        <v>RUA VEREADOR FLÁVIO ROCHA</v>
      </c>
      <c r="H78" s="254" t="str">
        <f t="shared" si="63"/>
        <v>DIREITO</v>
      </c>
      <c r="I78" s="84">
        <f t="shared" ref="I78:I82" si="64">(D78*20+F78)-(A78*20+C78)</f>
        <v>44</v>
      </c>
      <c r="J78" s="390">
        <f t="shared" si="56"/>
        <v>2.0999999999999996</v>
      </c>
      <c r="K78" s="390">
        <f t="shared" ref="K78:K83" si="65">TRUNC(I78*J78,2)</f>
        <v>92.4</v>
      </c>
      <c r="L78" s="411">
        <v>2.5000000000000001E-2</v>
      </c>
      <c r="M78" s="407">
        <f>TRUNC(K78*L78,2)</f>
        <v>2.31</v>
      </c>
      <c r="N78" s="410"/>
    </row>
    <row r="79" spans="1:14" s="388" customFormat="1" ht="12" customHeight="1">
      <c r="A79" s="254">
        <f t="shared" ref="A79:H79" si="66">A66</f>
        <v>10</v>
      </c>
      <c r="B79" s="254" t="str">
        <f t="shared" si="66"/>
        <v>+</v>
      </c>
      <c r="C79" s="426">
        <f t="shared" si="66"/>
        <v>2</v>
      </c>
      <c r="D79" s="254">
        <f t="shared" si="66"/>
        <v>16</v>
      </c>
      <c r="E79" s="254" t="str">
        <f t="shared" si="66"/>
        <v>+</v>
      </c>
      <c r="F79" s="426">
        <f t="shared" si="66"/>
        <v>13</v>
      </c>
      <c r="G79" s="254" t="str">
        <f t="shared" si="66"/>
        <v>RUA VEREADOR FLÁVIO ROCHA</v>
      </c>
      <c r="H79" s="254" t="str">
        <f t="shared" si="66"/>
        <v>DIREITO</v>
      </c>
      <c r="I79" s="84">
        <f t="shared" ref="I79" si="67">(D79*20+F79)-(A79*20+C79)</f>
        <v>131</v>
      </c>
      <c r="J79" s="390">
        <f t="shared" si="56"/>
        <v>1.05</v>
      </c>
      <c r="K79" s="390">
        <f t="shared" si="65"/>
        <v>137.55000000000001</v>
      </c>
      <c r="L79" s="411">
        <v>2.5000000000000001E-2</v>
      </c>
      <c r="M79" s="407">
        <f>TRUNC(K79*L79,2)</f>
        <v>3.43</v>
      </c>
      <c r="N79" s="410"/>
    </row>
    <row r="80" spans="1:14" s="388" customFormat="1" ht="12" customHeight="1">
      <c r="A80" s="254">
        <f t="shared" ref="A80:H80" si="68">A67</f>
        <v>0</v>
      </c>
      <c r="B80" s="254" t="str">
        <f t="shared" si="68"/>
        <v>+</v>
      </c>
      <c r="C80" s="426">
        <f t="shared" si="68"/>
        <v>0</v>
      </c>
      <c r="D80" s="254">
        <f t="shared" si="68"/>
        <v>1</v>
      </c>
      <c r="E80" s="254" t="str">
        <f t="shared" si="68"/>
        <v>+</v>
      </c>
      <c r="F80" s="426">
        <f t="shared" si="68"/>
        <v>10</v>
      </c>
      <c r="G80" s="254" t="str">
        <f t="shared" si="68"/>
        <v>RUA VEREADOR FLÁVIO ROCHA</v>
      </c>
      <c r="H80" s="254" t="str">
        <f t="shared" si="68"/>
        <v>ESQUERDO</v>
      </c>
      <c r="I80" s="84">
        <f t="shared" si="64"/>
        <v>30</v>
      </c>
      <c r="J80" s="390">
        <f t="shared" si="56"/>
        <v>1.05</v>
      </c>
      <c r="K80" s="390">
        <f t="shared" si="65"/>
        <v>31.5</v>
      </c>
      <c r="L80" s="411">
        <v>2.5000000000000001E-2</v>
      </c>
      <c r="M80" s="407">
        <f t="shared" ref="M80:M82" si="69">TRUNC(K80*L80,2)</f>
        <v>0.78</v>
      </c>
      <c r="N80" s="410"/>
    </row>
    <row r="81" spans="1:15" s="388" customFormat="1" ht="12" customHeight="1">
      <c r="A81" s="254">
        <f t="shared" ref="A81:H81" si="70">A68</f>
        <v>1</v>
      </c>
      <c r="B81" s="254" t="str">
        <f t="shared" si="70"/>
        <v>+</v>
      </c>
      <c r="C81" s="426">
        <f t="shared" si="70"/>
        <v>18</v>
      </c>
      <c r="D81" s="254">
        <f t="shared" si="70"/>
        <v>7</v>
      </c>
      <c r="E81" s="254" t="str">
        <f t="shared" si="70"/>
        <v>+</v>
      </c>
      <c r="F81" s="426">
        <f t="shared" si="70"/>
        <v>3</v>
      </c>
      <c r="G81" s="254" t="str">
        <f t="shared" si="70"/>
        <v>RUA VEREADOR FLÁVIO ROCHA</v>
      </c>
      <c r="H81" s="254" t="str">
        <f t="shared" si="70"/>
        <v>ESQUERDO</v>
      </c>
      <c r="I81" s="84">
        <f t="shared" ref="I81" si="71">(D81*20+F81)-(A81*20+C81)</f>
        <v>105</v>
      </c>
      <c r="J81" s="390">
        <f t="shared" si="56"/>
        <v>1.55</v>
      </c>
      <c r="K81" s="390">
        <f t="shared" si="65"/>
        <v>162.75</v>
      </c>
      <c r="L81" s="411">
        <v>2.5000000000000001E-2</v>
      </c>
      <c r="M81" s="407">
        <f t="shared" si="69"/>
        <v>4.0599999999999996</v>
      </c>
      <c r="N81" s="410"/>
    </row>
    <row r="82" spans="1:15" s="388" customFormat="1" ht="12" customHeight="1">
      <c r="A82" s="254">
        <f t="shared" ref="A82:H82" si="72">A69</f>
        <v>7</v>
      </c>
      <c r="B82" s="254" t="str">
        <f t="shared" si="72"/>
        <v>+</v>
      </c>
      <c r="C82" s="426">
        <f t="shared" si="72"/>
        <v>11</v>
      </c>
      <c r="D82" s="254">
        <f t="shared" si="72"/>
        <v>12</v>
      </c>
      <c r="E82" s="254" t="str">
        <f t="shared" si="72"/>
        <v>+</v>
      </c>
      <c r="F82" s="426">
        <f t="shared" si="72"/>
        <v>7</v>
      </c>
      <c r="G82" s="254" t="str">
        <f t="shared" si="72"/>
        <v>RUA VEREADOR FLÁVIO ROCHA</v>
      </c>
      <c r="H82" s="254" t="str">
        <f t="shared" si="72"/>
        <v>ESQUERDO</v>
      </c>
      <c r="I82" s="84">
        <f t="shared" si="64"/>
        <v>96</v>
      </c>
      <c r="J82" s="390">
        <f t="shared" si="56"/>
        <v>0.95</v>
      </c>
      <c r="K82" s="390">
        <f t="shared" si="65"/>
        <v>91.2</v>
      </c>
      <c r="L82" s="390">
        <v>0.05</v>
      </c>
      <c r="M82" s="407">
        <f t="shared" si="69"/>
        <v>4.5599999999999996</v>
      </c>
      <c r="N82" s="410"/>
    </row>
    <row r="83" spans="1:15" s="388" customFormat="1" ht="12" customHeight="1">
      <c r="A83" s="254">
        <f t="shared" ref="A83:H83" si="73">A70</f>
        <v>12</v>
      </c>
      <c r="B83" s="254" t="str">
        <f t="shared" si="73"/>
        <v>+</v>
      </c>
      <c r="C83" s="426">
        <f t="shared" si="73"/>
        <v>15</v>
      </c>
      <c r="D83" s="254">
        <f t="shared" si="73"/>
        <v>16</v>
      </c>
      <c r="E83" s="254" t="str">
        <f t="shared" si="73"/>
        <v>+</v>
      </c>
      <c r="F83" s="426">
        <f t="shared" si="73"/>
        <v>13</v>
      </c>
      <c r="G83" s="254" t="str">
        <f t="shared" si="73"/>
        <v>RUA VEREADOR FLÁVIO ROCHA</v>
      </c>
      <c r="H83" s="254" t="str">
        <f t="shared" si="73"/>
        <v>ESQUERDO</v>
      </c>
      <c r="I83" s="84">
        <f t="shared" ref="I83" si="74">(D83*20+F83)-(A83*20+C83)</f>
        <v>78</v>
      </c>
      <c r="J83" s="390">
        <f t="shared" si="56"/>
        <v>0.95</v>
      </c>
      <c r="K83" s="390">
        <f t="shared" si="65"/>
        <v>74.099999999999994</v>
      </c>
      <c r="L83" s="411">
        <v>2.5000000000000001E-2</v>
      </c>
      <c r="M83" s="407">
        <f>TRUNC(K83*L83,2)</f>
        <v>1.85</v>
      </c>
      <c r="N83" s="410"/>
    </row>
    <row r="84" spans="1:15" s="35" customFormat="1" ht="12" customHeight="1">
      <c r="A84" s="643" t="s">
        <v>421</v>
      </c>
      <c r="B84" s="644"/>
      <c r="C84" s="644"/>
      <c r="D84" s="644"/>
      <c r="E84" s="644"/>
      <c r="F84" s="644"/>
      <c r="G84" s="644"/>
      <c r="H84" s="644"/>
      <c r="I84" s="644"/>
      <c r="J84" s="644"/>
      <c r="K84" s="644"/>
      <c r="L84" s="645"/>
      <c r="M84" s="417">
        <f>SUM(M58:M83)</f>
        <v>95.24</v>
      </c>
      <c r="O84" s="263"/>
    </row>
    <row r="85" spans="1:15" ht="12" customHeight="1">
      <c r="A85" s="403"/>
      <c r="B85" s="404"/>
      <c r="C85" s="404"/>
      <c r="D85" s="404"/>
      <c r="E85" s="404"/>
      <c r="F85" s="404"/>
      <c r="G85" s="404"/>
      <c r="H85" s="404"/>
      <c r="I85" s="405"/>
      <c r="J85" s="405"/>
      <c r="K85" s="404"/>
      <c r="L85" s="404"/>
      <c r="M85" s="406"/>
    </row>
    <row r="86" spans="1:15" ht="12" customHeight="1">
      <c r="A86" s="646" t="s">
        <v>426</v>
      </c>
      <c r="B86" s="647"/>
      <c r="C86" s="647"/>
      <c r="D86" s="647"/>
      <c r="E86" s="647"/>
      <c r="F86" s="647"/>
      <c r="G86" s="647"/>
      <c r="H86" s="647"/>
      <c r="I86" s="647"/>
      <c r="J86" s="647"/>
      <c r="K86" s="647"/>
      <c r="L86" s="647"/>
      <c r="M86" s="648"/>
    </row>
    <row r="87" spans="1:15" s="388" customFormat="1" ht="12" customHeight="1">
      <c r="A87" s="620" t="s">
        <v>57</v>
      </c>
      <c r="B87" s="620"/>
      <c r="C87" s="620"/>
      <c r="D87" s="620" t="s">
        <v>58</v>
      </c>
      <c r="E87" s="620"/>
      <c r="F87" s="620"/>
      <c r="G87" s="413" t="s">
        <v>341</v>
      </c>
      <c r="H87" s="413" t="s">
        <v>118</v>
      </c>
      <c r="I87" s="389" t="s">
        <v>60</v>
      </c>
      <c r="J87" s="389" t="s">
        <v>56</v>
      </c>
      <c r="K87" s="413" t="s">
        <v>340</v>
      </c>
      <c r="L87" s="413" t="s">
        <v>416</v>
      </c>
      <c r="M87" s="413" t="s">
        <v>132</v>
      </c>
    </row>
    <row r="88" spans="1:15" s="388" customFormat="1" ht="12" customHeight="1">
      <c r="A88" s="254">
        <f>A43</f>
        <v>0</v>
      </c>
      <c r="B88" s="254" t="str">
        <f>B43</f>
        <v>+</v>
      </c>
      <c r="C88" s="426">
        <f>C43</f>
        <v>13</v>
      </c>
      <c r="D88" s="254">
        <v>0</v>
      </c>
      <c r="E88" s="426" t="str">
        <f>E43</f>
        <v>+</v>
      </c>
      <c r="F88" s="426">
        <v>18</v>
      </c>
      <c r="G88" s="426" t="str">
        <f>G43</f>
        <v>RUA JOSÉ MARQUES</v>
      </c>
      <c r="H88" s="426" t="str">
        <f>H43</f>
        <v>ESQUERDO</v>
      </c>
      <c r="I88" s="84">
        <f t="shared" ref="I88:I91" si="75">(D88*20+F88)-(A88*20+C88)</f>
        <v>5</v>
      </c>
      <c r="J88" s="390">
        <v>0.1</v>
      </c>
      <c r="K88" s="390">
        <f t="shared" ref="K88" si="76">TRUNC(I88*J88,2)</f>
        <v>0.5</v>
      </c>
      <c r="L88" s="390">
        <v>0.3</v>
      </c>
      <c r="M88" s="407">
        <f t="shared" ref="M88" si="77">TRUNC(K88*L88,2)</f>
        <v>0.15</v>
      </c>
    </row>
    <row r="89" spans="1:15" s="388" customFormat="1" ht="12" customHeight="1">
      <c r="A89" s="254">
        <v>2</v>
      </c>
      <c r="B89" s="254" t="str">
        <f t="shared" ref="B89:H90" si="78">B44</f>
        <v>+</v>
      </c>
      <c r="C89" s="426">
        <v>0</v>
      </c>
      <c r="D89" s="254">
        <v>2</v>
      </c>
      <c r="E89" s="426" t="str">
        <f t="shared" si="78"/>
        <v>+</v>
      </c>
      <c r="F89" s="426">
        <f t="shared" si="78"/>
        <v>17</v>
      </c>
      <c r="G89" s="426" t="str">
        <f t="shared" si="78"/>
        <v>RUA JOSÉ MARQUES</v>
      </c>
      <c r="H89" s="426" t="str">
        <f t="shared" si="78"/>
        <v>ESQUERDO</v>
      </c>
      <c r="I89" s="84">
        <f t="shared" si="75"/>
        <v>17</v>
      </c>
      <c r="J89" s="390">
        <v>0.1</v>
      </c>
      <c r="K89" s="390">
        <f>TRUNC(I89*J89,2)</f>
        <v>1.7</v>
      </c>
      <c r="L89" s="390">
        <v>0.3</v>
      </c>
      <c r="M89" s="407">
        <f>TRUNC(K89*L89,2)</f>
        <v>0.51</v>
      </c>
    </row>
    <row r="90" spans="1:15" s="388" customFormat="1" ht="12" customHeight="1">
      <c r="A90" s="254">
        <v>4</v>
      </c>
      <c r="B90" s="254" t="str">
        <f t="shared" si="78"/>
        <v>+</v>
      </c>
      <c r="C90" s="426">
        <v>5</v>
      </c>
      <c r="D90" s="254">
        <v>4</v>
      </c>
      <c r="E90" s="426" t="str">
        <f t="shared" si="78"/>
        <v>+</v>
      </c>
      <c r="F90" s="426">
        <v>17</v>
      </c>
      <c r="G90" s="426" t="str">
        <f>G89</f>
        <v>RUA JOSÉ MARQUES</v>
      </c>
      <c r="H90" s="426" t="str">
        <f>H89</f>
        <v>ESQUERDO</v>
      </c>
      <c r="I90" s="84">
        <f t="shared" ref="I90" si="79">(D90*20+F90)-(A90*20+C90)</f>
        <v>12</v>
      </c>
      <c r="J90" s="390">
        <v>0.1</v>
      </c>
      <c r="K90" s="390">
        <f>TRUNC(I90*J90,2)</f>
        <v>1.2</v>
      </c>
      <c r="L90" s="390">
        <v>0.3</v>
      </c>
      <c r="M90" s="407">
        <f>TRUNC(K90*L90,2)</f>
        <v>0.36</v>
      </c>
    </row>
    <row r="91" spans="1:15" s="388" customFormat="1" ht="12" customHeight="1">
      <c r="A91" s="254">
        <f t="shared" ref="A91:H91" si="80">A45</f>
        <v>0</v>
      </c>
      <c r="B91" s="254" t="str">
        <f t="shared" si="80"/>
        <v>+</v>
      </c>
      <c r="C91" s="426">
        <f t="shared" si="80"/>
        <v>0</v>
      </c>
      <c r="D91" s="254">
        <v>0</v>
      </c>
      <c r="E91" s="426" t="str">
        <f t="shared" si="80"/>
        <v>+</v>
      </c>
      <c r="F91" s="426">
        <v>12</v>
      </c>
      <c r="G91" s="426" t="str">
        <f t="shared" si="80"/>
        <v>RUA VEREADOR FLÁVIO ROCHA</v>
      </c>
      <c r="H91" s="426" t="str">
        <f t="shared" si="80"/>
        <v>DIREITO</v>
      </c>
      <c r="I91" s="84">
        <f t="shared" si="75"/>
        <v>12</v>
      </c>
      <c r="J91" s="390">
        <v>0.1</v>
      </c>
      <c r="K91" s="390">
        <f t="shared" ref="K91:K92" si="81">TRUNC(I91*J91,2)</f>
        <v>1.2</v>
      </c>
      <c r="L91" s="390">
        <v>0.3</v>
      </c>
      <c r="M91" s="407">
        <f t="shared" ref="M91:M92" si="82">TRUNC(K91*L91,2)</f>
        <v>0.36</v>
      </c>
    </row>
    <row r="92" spans="1:15" s="388" customFormat="1" ht="12" customHeight="1">
      <c r="A92" s="254">
        <f t="shared" ref="A92:H92" si="83">A46</f>
        <v>1</v>
      </c>
      <c r="B92" s="254" t="str">
        <f t="shared" si="83"/>
        <v>+</v>
      </c>
      <c r="C92" s="426">
        <f t="shared" si="83"/>
        <v>9</v>
      </c>
      <c r="D92" s="254">
        <f t="shared" si="83"/>
        <v>3</v>
      </c>
      <c r="E92" s="426" t="str">
        <f t="shared" si="83"/>
        <v>+</v>
      </c>
      <c r="F92" s="426">
        <f t="shared" si="83"/>
        <v>5</v>
      </c>
      <c r="G92" s="426" t="str">
        <f t="shared" si="83"/>
        <v>RUA VEREADOR FLÁVIO ROCHA</v>
      </c>
      <c r="H92" s="426" t="str">
        <f t="shared" si="83"/>
        <v>DIREITO</v>
      </c>
      <c r="I92" s="84">
        <v>45</v>
      </c>
      <c r="J92" s="390">
        <v>0.1</v>
      </c>
      <c r="K92" s="390">
        <f t="shared" si="81"/>
        <v>4.5</v>
      </c>
      <c r="L92" s="390">
        <v>0.3</v>
      </c>
      <c r="M92" s="407">
        <f t="shared" si="82"/>
        <v>1.35</v>
      </c>
    </row>
    <row r="93" spans="1:15" s="388" customFormat="1" ht="12" customHeight="1">
      <c r="A93" s="254">
        <f t="shared" ref="A93:H93" si="84">A47</f>
        <v>3</v>
      </c>
      <c r="B93" s="254" t="str">
        <f t="shared" si="84"/>
        <v>+</v>
      </c>
      <c r="C93" s="426">
        <f t="shared" si="84"/>
        <v>12</v>
      </c>
      <c r="D93" s="254">
        <f t="shared" si="84"/>
        <v>7</v>
      </c>
      <c r="E93" s="426" t="str">
        <f t="shared" si="84"/>
        <v>+</v>
      </c>
      <c r="F93" s="426">
        <f t="shared" si="84"/>
        <v>3</v>
      </c>
      <c r="G93" s="426" t="str">
        <f t="shared" si="84"/>
        <v>RUA VEREADOR FLÁVIO ROCHA</v>
      </c>
      <c r="H93" s="426" t="str">
        <f t="shared" si="84"/>
        <v>DIREITO</v>
      </c>
      <c r="I93" s="84">
        <v>90</v>
      </c>
      <c r="J93" s="390">
        <v>0.1</v>
      </c>
      <c r="K93" s="390">
        <f>TRUNC(I93*J93,2)</f>
        <v>9</v>
      </c>
      <c r="L93" s="390">
        <v>0.3</v>
      </c>
      <c r="M93" s="407">
        <f>TRUNC(K93*L93,2)</f>
        <v>2.7</v>
      </c>
    </row>
    <row r="94" spans="1:15" s="388" customFormat="1" ht="12" customHeight="1">
      <c r="A94" s="254">
        <f t="shared" ref="A94:H94" si="85">A48</f>
        <v>7</v>
      </c>
      <c r="B94" s="254" t="str">
        <f t="shared" si="85"/>
        <v>+</v>
      </c>
      <c r="C94" s="426">
        <f t="shared" si="85"/>
        <v>11</v>
      </c>
      <c r="D94" s="254">
        <f t="shared" si="85"/>
        <v>9</v>
      </c>
      <c r="E94" s="426" t="str">
        <f t="shared" si="85"/>
        <v>+</v>
      </c>
      <c r="F94" s="426">
        <f t="shared" si="85"/>
        <v>15</v>
      </c>
      <c r="G94" s="426" t="str">
        <f t="shared" si="85"/>
        <v>RUA VEREADOR FLÁVIO ROCHA</v>
      </c>
      <c r="H94" s="426" t="str">
        <f t="shared" si="85"/>
        <v>DIREITO</v>
      </c>
      <c r="I94" s="84">
        <v>65</v>
      </c>
      <c r="J94" s="390">
        <v>0.1</v>
      </c>
      <c r="K94" s="390">
        <f t="shared" ref="K94:K95" si="86">TRUNC(I94*J94,2)</f>
        <v>6.5</v>
      </c>
      <c r="L94" s="390">
        <v>0.3</v>
      </c>
      <c r="M94" s="407">
        <f t="shared" ref="M94:M95" si="87">TRUNC(K94*L94,2)</f>
        <v>1.95</v>
      </c>
    </row>
    <row r="95" spans="1:15" s="388" customFormat="1" ht="12" customHeight="1">
      <c r="A95" s="254">
        <f t="shared" ref="A95:H95" si="88">A49</f>
        <v>10</v>
      </c>
      <c r="B95" s="254" t="str">
        <f t="shared" si="88"/>
        <v>+</v>
      </c>
      <c r="C95" s="426">
        <f t="shared" si="88"/>
        <v>2</v>
      </c>
      <c r="D95" s="254">
        <f t="shared" si="88"/>
        <v>16</v>
      </c>
      <c r="E95" s="426" t="str">
        <f t="shared" si="88"/>
        <v>+</v>
      </c>
      <c r="F95" s="426">
        <f t="shared" si="88"/>
        <v>13</v>
      </c>
      <c r="G95" s="426" t="str">
        <f t="shared" si="88"/>
        <v>RUA VEREADOR FLÁVIO ROCHA</v>
      </c>
      <c r="H95" s="426" t="str">
        <f t="shared" si="88"/>
        <v>DIREITO</v>
      </c>
      <c r="I95" s="84">
        <v>136</v>
      </c>
      <c r="J95" s="390">
        <v>0.1</v>
      </c>
      <c r="K95" s="390">
        <f t="shared" si="86"/>
        <v>13.6</v>
      </c>
      <c r="L95" s="390">
        <v>0.3</v>
      </c>
      <c r="M95" s="407">
        <f t="shared" si="87"/>
        <v>4.08</v>
      </c>
    </row>
    <row r="96" spans="1:15" s="388" customFormat="1" ht="12" customHeight="1">
      <c r="A96" s="254">
        <f t="shared" ref="A96:H96" si="89">A50</f>
        <v>0</v>
      </c>
      <c r="B96" s="254" t="str">
        <f t="shared" si="89"/>
        <v>+</v>
      </c>
      <c r="C96" s="426">
        <f t="shared" si="89"/>
        <v>0</v>
      </c>
      <c r="D96" s="254">
        <f t="shared" si="89"/>
        <v>1</v>
      </c>
      <c r="E96" s="426" t="str">
        <f t="shared" si="89"/>
        <v>+</v>
      </c>
      <c r="F96" s="426">
        <f t="shared" si="89"/>
        <v>10</v>
      </c>
      <c r="G96" s="426" t="str">
        <f t="shared" si="89"/>
        <v>RUA VEREADOR FLÁVIO ROCHA</v>
      </c>
      <c r="H96" s="426" t="str">
        <f t="shared" si="89"/>
        <v>ESQUERDO</v>
      </c>
      <c r="I96" s="84">
        <v>4</v>
      </c>
      <c r="J96" s="390">
        <v>0.1</v>
      </c>
      <c r="K96" s="390">
        <f>TRUNC(I96*J96,2)</f>
        <v>0.4</v>
      </c>
      <c r="L96" s="390">
        <v>0.3</v>
      </c>
      <c r="M96" s="407">
        <f>TRUNC(K96*L96,2)</f>
        <v>0.12</v>
      </c>
    </row>
    <row r="97" spans="1:15" s="388" customFormat="1" ht="12" customHeight="1">
      <c r="A97" s="254">
        <f t="shared" ref="A97:H97" si="90">A51</f>
        <v>1</v>
      </c>
      <c r="B97" s="254" t="str">
        <f t="shared" si="90"/>
        <v>+</v>
      </c>
      <c r="C97" s="426">
        <f t="shared" si="90"/>
        <v>18</v>
      </c>
      <c r="D97" s="254">
        <f t="shared" si="90"/>
        <v>7</v>
      </c>
      <c r="E97" s="426" t="str">
        <f t="shared" si="90"/>
        <v>+</v>
      </c>
      <c r="F97" s="426">
        <f t="shared" si="90"/>
        <v>3</v>
      </c>
      <c r="G97" s="426" t="str">
        <f t="shared" si="90"/>
        <v>RUA VEREADOR FLÁVIO ROCHA</v>
      </c>
      <c r="H97" s="426" t="str">
        <f t="shared" si="90"/>
        <v>ESQUERDO</v>
      </c>
      <c r="I97" s="84">
        <v>112</v>
      </c>
      <c r="J97" s="390">
        <v>0.1</v>
      </c>
      <c r="K97" s="390">
        <f t="shared" ref="K97:K98" si="91">TRUNC(I97*J97,2)</f>
        <v>11.2</v>
      </c>
      <c r="L97" s="390">
        <v>0.3</v>
      </c>
      <c r="M97" s="407">
        <f t="shared" ref="M97:M98" si="92">TRUNC(K97*L97,2)</f>
        <v>3.36</v>
      </c>
    </row>
    <row r="98" spans="1:15" s="388" customFormat="1" ht="12" customHeight="1">
      <c r="A98" s="254">
        <f t="shared" ref="A98:H98" si="93">A52</f>
        <v>7</v>
      </c>
      <c r="B98" s="254" t="str">
        <f t="shared" si="93"/>
        <v>+</v>
      </c>
      <c r="C98" s="426">
        <f t="shared" si="93"/>
        <v>11</v>
      </c>
      <c r="D98" s="254">
        <f t="shared" si="93"/>
        <v>12</v>
      </c>
      <c r="E98" s="426" t="str">
        <f t="shared" si="93"/>
        <v>+</v>
      </c>
      <c r="F98" s="426">
        <f t="shared" si="93"/>
        <v>7</v>
      </c>
      <c r="G98" s="426" t="str">
        <f t="shared" si="93"/>
        <v>RUA VEREADOR FLÁVIO ROCHA</v>
      </c>
      <c r="H98" s="426" t="str">
        <f t="shared" si="93"/>
        <v>ESQUERDO</v>
      </c>
      <c r="I98" s="84">
        <v>103</v>
      </c>
      <c r="J98" s="390">
        <v>0.1</v>
      </c>
      <c r="K98" s="390">
        <f t="shared" si="91"/>
        <v>10.3</v>
      </c>
      <c r="L98" s="390">
        <v>0.3</v>
      </c>
      <c r="M98" s="407">
        <f t="shared" si="92"/>
        <v>3.09</v>
      </c>
    </row>
    <row r="99" spans="1:15" s="388" customFormat="1" ht="12" customHeight="1">
      <c r="A99" s="254">
        <f t="shared" ref="A99:H99" si="94">A53</f>
        <v>12</v>
      </c>
      <c r="B99" s="254" t="str">
        <f t="shared" si="94"/>
        <v>+</v>
      </c>
      <c r="C99" s="426">
        <f t="shared" si="94"/>
        <v>15</v>
      </c>
      <c r="D99" s="254">
        <f t="shared" si="94"/>
        <v>16</v>
      </c>
      <c r="E99" s="426" t="str">
        <f t="shared" si="94"/>
        <v>+</v>
      </c>
      <c r="F99" s="426">
        <f t="shared" si="94"/>
        <v>13</v>
      </c>
      <c r="G99" s="426" t="str">
        <f t="shared" si="94"/>
        <v>RUA VEREADOR FLÁVIO ROCHA</v>
      </c>
      <c r="H99" s="426" t="str">
        <f t="shared" si="94"/>
        <v>ESQUERDO</v>
      </c>
      <c r="I99" s="84">
        <v>84</v>
      </c>
      <c r="J99" s="390">
        <v>0.1</v>
      </c>
      <c r="K99" s="390">
        <f>TRUNC(I99*J99,2)</f>
        <v>8.4</v>
      </c>
      <c r="L99" s="390">
        <v>0.3</v>
      </c>
      <c r="M99" s="407">
        <f>TRUNC(K99*L99,2)</f>
        <v>2.52</v>
      </c>
    </row>
    <row r="100" spans="1:15" s="35" customFormat="1" ht="12" customHeight="1">
      <c r="A100" s="642" t="s">
        <v>24</v>
      </c>
      <c r="B100" s="642"/>
      <c r="C100" s="642"/>
      <c r="D100" s="642"/>
      <c r="E100" s="642"/>
      <c r="F100" s="642"/>
      <c r="G100" s="642"/>
      <c r="H100" s="642"/>
      <c r="I100" s="642"/>
      <c r="J100" s="642"/>
      <c r="K100" s="642"/>
      <c r="L100" s="642"/>
      <c r="M100" s="394">
        <f>SUM(M88:M99)</f>
        <v>20.55</v>
      </c>
      <c r="O100" s="263"/>
    </row>
    <row r="101" spans="1:15" ht="12" customHeight="1">
      <c r="A101" s="395"/>
      <c r="B101" s="396"/>
      <c r="C101" s="396"/>
      <c r="D101" s="396"/>
      <c r="E101" s="396"/>
      <c r="F101" s="396"/>
      <c r="G101" s="396"/>
      <c r="H101" s="396"/>
      <c r="I101" s="397"/>
      <c r="J101" s="397"/>
      <c r="K101" s="396"/>
      <c r="L101" s="396"/>
      <c r="M101" s="398"/>
    </row>
    <row r="102" spans="1:15" s="388" customFormat="1" ht="12" customHeight="1">
      <c r="A102" s="617" t="s">
        <v>427</v>
      </c>
      <c r="B102" s="618"/>
      <c r="C102" s="618"/>
      <c r="D102" s="618"/>
      <c r="E102" s="618"/>
      <c r="F102" s="618"/>
      <c r="G102" s="618"/>
      <c r="H102" s="618"/>
      <c r="I102" s="618"/>
      <c r="J102" s="618"/>
      <c r="K102" s="618"/>
      <c r="L102" s="618"/>
      <c r="M102" s="619"/>
    </row>
    <row r="103" spans="1:15" s="388" customFormat="1" ht="12" customHeight="1">
      <c r="A103" s="620" t="s">
        <v>57</v>
      </c>
      <c r="B103" s="620"/>
      <c r="C103" s="620"/>
      <c r="D103" s="620" t="s">
        <v>58</v>
      </c>
      <c r="E103" s="620"/>
      <c r="F103" s="620"/>
      <c r="G103" s="413" t="s">
        <v>341</v>
      </c>
      <c r="H103" s="413" t="s">
        <v>118</v>
      </c>
      <c r="I103" s="389" t="s">
        <v>60</v>
      </c>
      <c r="J103" s="389" t="s">
        <v>56</v>
      </c>
      <c r="K103" s="413" t="s">
        <v>340</v>
      </c>
      <c r="L103" s="413" t="s">
        <v>416</v>
      </c>
      <c r="M103" s="413" t="s">
        <v>429</v>
      </c>
    </row>
    <row r="104" spans="1:15" s="388" customFormat="1" ht="12" customHeight="1">
      <c r="A104" s="254">
        <f>A24</f>
        <v>0</v>
      </c>
      <c r="B104" s="254" t="str">
        <f t="shared" ref="B104:H104" si="95">B24</f>
        <v>+</v>
      </c>
      <c r="C104" s="426">
        <f t="shared" si="95"/>
        <v>15</v>
      </c>
      <c r="D104" s="254">
        <f t="shared" si="95"/>
        <v>4</v>
      </c>
      <c r="E104" s="426" t="str">
        <f t="shared" si="95"/>
        <v>+</v>
      </c>
      <c r="F104" s="426">
        <f t="shared" si="95"/>
        <v>17</v>
      </c>
      <c r="G104" s="426" t="str">
        <f t="shared" si="95"/>
        <v>RUA JOSÉ MARQUES</v>
      </c>
      <c r="H104" s="426" t="str">
        <f t="shared" si="95"/>
        <v>DIREITO</v>
      </c>
      <c r="I104" s="84">
        <f t="shared" ref="I104:I113" si="96">(D104*20+F104)-(A104*20+C104)</f>
        <v>82</v>
      </c>
      <c r="J104" s="390">
        <v>0.45</v>
      </c>
      <c r="K104" s="390">
        <f>TRUNC(I104*J104,2)</f>
        <v>36.9</v>
      </c>
      <c r="L104" s="391" t="s">
        <v>49</v>
      </c>
      <c r="M104" s="407">
        <f>K104</f>
        <v>36.9</v>
      </c>
    </row>
    <row r="105" spans="1:15" s="388" customFormat="1" ht="12" customHeight="1">
      <c r="A105" s="254">
        <f t="shared" ref="A105:H105" si="97">A25</f>
        <v>0</v>
      </c>
      <c r="B105" s="254" t="str">
        <f t="shared" si="97"/>
        <v>+</v>
      </c>
      <c r="C105" s="426">
        <f t="shared" si="97"/>
        <v>0</v>
      </c>
      <c r="D105" s="254">
        <f t="shared" si="97"/>
        <v>0</v>
      </c>
      <c r="E105" s="426" t="str">
        <f t="shared" si="97"/>
        <v>+</v>
      </c>
      <c r="F105" s="426">
        <f t="shared" si="97"/>
        <v>5</v>
      </c>
      <c r="G105" s="426" t="str">
        <f t="shared" si="97"/>
        <v>RUA JOSÉ MARQUES</v>
      </c>
      <c r="H105" s="426" t="str">
        <f t="shared" si="97"/>
        <v>ESQUERDO</v>
      </c>
      <c r="I105" s="84">
        <f t="shared" si="96"/>
        <v>5</v>
      </c>
      <c r="J105" s="390">
        <v>0.45</v>
      </c>
      <c r="K105" s="390">
        <f t="shared" ref="K105" si="98">TRUNC(I105*J105,2)</f>
        <v>2.25</v>
      </c>
      <c r="L105" s="391" t="s">
        <v>49</v>
      </c>
      <c r="M105" s="407">
        <f t="shared" ref="M105:M108" si="99">K105</f>
        <v>2.25</v>
      </c>
    </row>
    <row r="106" spans="1:15" s="388" customFormat="1" ht="12" customHeight="1">
      <c r="A106" s="254">
        <f t="shared" ref="A106:H106" si="100">A26</f>
        <v>0</v>
      </c>
      <c r="B106" s="254" t="str">
        <f t="shared" si="100"/>
        <v>+</v>
      </c>
      <c r="C106" s="426">
        <f t="shared" si="100"/>
        <v>13</v>
      </c>
      <c r="D106" s="254">
        <f t="shared" si="100"/>
        <v>3</v>
      </c>
      <c r="E106" s="426" t="str">
        <f t="shared" si="100"/>
        <v>+</v>
      </c>
      <c r="F106" s="426">
        <f t="shared" si="100"/>
        <v>12</v>
      </c>
      <c r="G106" s="426" t="str">
        <f t="shared" si="100"/>
        <v>RUA JOSÉ MARQUES</v>
      </c>
      <c r="H106" s="426" t="str">
        <f t="shared" si="100"/>
        <v>ESQUERDO</v>
      </c>
      <c r="I106" s="84">
        <f t="shared" si="96"/>
        <v>59</v>
      </c>
      <c r="J106" s="390">
        <v>0.45</v>
      </c>
      <c r="K106" s="390">
        <f>TRUNC(I106*J106,2)</f>
        <v>26.55</v>
      </c>
      <c r="L106" s="391" t="s">
        <v>49</v>
      </c>
      <c r="M106" s="407">
        <f t="shared" si="99"/>
        <v>26.55</v>
      </c>
    </row>
    <row r="107" spans="1:15" s="388" customFormat="1" ht="12" customHeight="1">
      <c r="A107" s="254">
        <f t="shared" ref="A107:H107" si="101">A27</f>
        <v>4</v>
      </c>
      <c r="B107" s="254" t="str">
        <f t="shared" si="101"/>
        <v>+</v>
      </c>
      <c r="C107" s="426">
        <f t="shared" si="101"/>
        <v>4</v>
      </c>
      <c r="D107" s="254">
        <f t="shared" si="101"/>
        <v>4</v>
      </c>
      <c r="E107" s="426" t="str">
        <f t="shared" si="101"/>
        <v>+</v>
      </c>
      <c r="F107" s="426">
        <f t="shared" si="101"/>
        <v>17</v>
      </c>
      <c r="G107" s="426" t="str">
        <f t="shared" si="101"/>
        <v>RUA JOSÉ MARQUES</v>
      </c>
      <c r="H107" s="426" t="str">
        <f t="shared" si="101"/>
        <v>ESQUERDO</v>
      </c>
      <c r="I107" s="84">
        <f t="shared" si="96"/>
        <v>13</v>
      </c>
      <c r="J107" s="390">
        <v>0.45</v>
      </c>
      <c r="K107" s="390">
        <f>TRUNC(I107*J107,2)</f>
        <v>5.85</v>
      </c>
      <c r="L107" s="391" t="s">
        <v>49</v>
      </c>
      <c r="M107" s="407">
        <f t="shared" si="99"/>
        <v>5.85</v>
      </c>
    </row>
    <row r="108" spans="1:15" s="388" customFormat="1" ht="12" customHeight="1">
      <c r="A108" s="254">
        <f t="shared" ref="A108:H108" si="102">A28</f>
        <v>0</v>
      </c>
      <c r="B108" s="254" t="str">
        <f t="shared" si="102"/>
        <v>+</v>
      </c>
      <c r="C108" s="426">
        <f t="shared" si="102"/>
        <v>0</v>
      </c>
      <c r="D108" s="254">
        <f t="shared" si="102"/>
        <v>1</v>
      </c>
      <c r="E108" s="426" t="str">
        <f t="shared" si="102"/>
        <v>+</v>
      </c>
      <c r="F108" s="426">
        <f t="shared" si="102"/>
        <v>0</v>
      </c>
      <c r="G108" s="426" t="str">
        <f t="shared" si="102"/>
        <v>RUA VEREADOR FLÁVIO ROCHA</v>
      </c>
      <c r="H108" s="426" t="str">
        <f t="shared" si="102"/>
        <v>DIREITO</v>
      </c>
      <c r="I108" s="84">
        <f t="shared" si="96"/>
        <v>20</v>
      </c>
      <c r="J108" s="390">
        <v>0.45</v>
      </c>
      <c r="K108" s="390">
        <f t="shared" ref="K108" si="103">TRUNC(I108*J108,2)</f>
        <v>9</v>
      </c>
      <c r="L108" s="391" t="s">
        <v>49</v>
      </c>
      <c r="M108" s="407">
        <f t="shared" si="99"/>
        <v>9</v>
      </c>
    </row>
    <row r="109" spans="1:15" s="388" customFormat="1" ht="12" customHeight="1">
      <c r="A109" s="254">
        <f t="shared" ref="A109:H109" si="104">A29</f>
        <v>1</v>
      </c>
      <c r="B109" s="254" t="str">
        <f t="shared" si="104"/>
        <v>+</v>
      </c>
      <c r="C109" s="426">
        <f t="shared" si="104"/>
        <v>9</v>
      </c>
      <c r="D109" s="254">
        <f t="shared" si="104"/>
        <v>3</v>
      </c>
      <c r="E109" s="426" t="str">
        <f t="shared" si="104"/>
        <v>+</v>
      </c>
      <c r="F109" s="426">
        <f t="shared" si="104"/>
        <v>5</v>
      </c>
      <c r="G109" s="426" t="str">
        <f t="shared" si="104"/>
        <v>RUA VEREADOR FLÁVIO ROCHA</v>
      </c>
      <c r="H109" s="426" t="str">
        <f t="shared" si="104"/>
        <v>DIREITO</v>
      </c>
      <c r="I109" s="84">
        <f t="shared" si="96"/>
        <v>36</v>
      </c>
      <c r="J109" s="390">
        <v>0.45</v>
      </c>
      <c r="K109" s="390">
        <f>TRUNC(I109*J109,2)</f>
        <v>16.2</v>
      </c>
      <c r="L109" s="391" t="s">
        <v>49</v>
      </c>
      <c r="M109" s="407">
        <f>K109</f>
        <v>16.2</v>
      </c>
    </row>
    <row r="110" spans="1:15" s="388" customFormat="1" ht="12" customHeight="1">
      <c r="A110" s="254">
        <f t="shared" ref="A110:H110" si="105">A30</f>
        <v>3</v>
      </c>
      <c r="B110" s="254" t="str">
        <f t="shared" si="105"/>
        <v>+</v>
      </c>
      <c r="C110" s="426">
        <f t="shared" si="105"/>
        <v>12</v>
      </c>
      <c r="D110" s="254">
        <f t="shared" si="105"/>
        <v>7</v>
      </c>
      <c r="E110" s="426" t="str">
        <f t="shared" si="105"/>
        <v>+</v>
      </c>
      <c r="F110" s="426">
        <f t="shared" si="105"/>
        <v>3</v>
      </c>
      <c r="G110" s="426" t="str">
        <f t="shared" si="105"/>
        <v>RUA VEREADOR FLÁVIO ROCHA</v>
      </c>
      <c r="H110" s="426" t="str">
        <f t="shared" si="105"/>
        <v>DIREITO</v>
      </c>
      <c r="I110" s="84">
        <f t="shared" si="96"/>
        <v>71</v>
      </c>
      <c r="J110" s="390">
        <v>0.45</v>
      </c>
      <c r="K110" s="390">
        <f t="shared" ref="K110" si="106">TRUNC(I110*J110,2)</f>
        <v>31.95</v>
      </c>
      <c r="L110" s="391" t="s">
        <v>49</v>
      </c>
      <c r="M110" s="407">
        <f t="shared" ref="M110:M113" si="107">K110</f>
        <v>31.95</v>
      </c>
    </row>
    <row r="111" spans="1:15" s="388" customFormat="1" ht="12" customHeight="1">
      <c r="A111" s="254">
        <f t="shared" ref="A111:H111" si="108">A31</f>
        <v>7</v>
      </c>
      <c r="B111" s="254" t="str">
        <f t="shared" si="108"/>
        <v>+</v>
      </c>
      <c r="C111" s="426">
        <f t="shared" si="108"/>
        <v>11</v>
      </c>
      <c r="D111" s="254">
        <f t="shared" si="108"/>
        <v>9</v>
      </c>
      <c r="E111" s="426" t="str">
        <f t="shared" si="108"/>
        <v>+</v>
      </c>
      <c r="F111" s="426">
        <f t="shared" si="108"/>
        <v>15</v>
      </c>
      <c r="G111" s="426" t="str">
        <f t="shared" si="108"/>
        <v>RUA VEREADOR FLÁVIO ROCHA</v>
      </c>
      <c r="H111" s="426" t="str">
        <f t="shared" si="108"/>
        <v>DIREITO</v>
      </c>
      <c r="I111" s="84">
        <f t="shared" si="96"/>
        <v>44</v>
      </c>
      <c r="J111" s="390">
        <v>0.45</v>
      </c>
      <c r="K111" s="390">
        <f>TRUNC(I111*J111,2)</f>
        <v>19.8</v>
      </c>
      <c r="L111" s="391" t="s">
        <v>49</v>
      </c>
      <c r="M111" s="407">
        <f t="shared" si="107"/>
        <v>19.8</v>
      </c>
    </row>
    <row r="112" spans="1:15" s="388" customFormat="1" ht="12" customHeight="1">
      <c r="A112" s="254">
        <f t="shared" ref="A112:H112" si="109">A32</f>
        <v>10</v>
      </c>
      <c r="B112" s="254" t="str">
        <f t="shared" si="109"/>
        <v>+</v>
      </c>
      <c r="C112" s="426">
        <f t="shared" si="109"/>
        <v>2</v>
      </c>
      <c r="D112" s="254">
        <f t="shared" si="109"/>
        <v>16</v>
      </c>
      <c r="E112" s="426" t="str">
        <f t="shared" si="109"/>
        <v>+</v>
      </c>
      <c r="F112" s="426">
        <f t="shared" si="109"/>
        <v>13</v>
      </c>
      <c r="G112" s="426" t="str">
        <f t="shared" si="109"/>
        <v>RUA VEREADOR FLÁVIO ROCHA</v>
      </c>
      <c r="H112" s="426" t="str">
        <f t="shared" si="109"/>
        <v>DIREITO</v>
      </c>
      <c r="I112" s="84">
        <f t="shared" si="96"/>
        <v>131</v>
      </c>
      <c r="J112" s="390">
        <v>0.45</v>
      </c>
      <c r="K112" s="390">
        <f>TRUNC(I112*J112,2)</f>
        <v>58.95</v>
      </c>
      <c r="L112" s="391" t="s">
        <v>49</v>
      </c>
      <c r="M112" s="407">
        <f t="shared" si="107"/>
        <v>58.95</v>
      </c>
    </row>
    <row r="113" spans="1:15" s="388" customFormat="1" ht="12" customHeight="1">
      <c r="A113" s="254">
        <f t="shared" ref="A113:H113" si="110">A33</f>
        <v>0</v>
      </c>
      <c r="B113" s="254" t="str">
        <f t="shared" si="110"/>
        <v>+</v>
      </c>
      <c r="C113" s="426">
        <f t="shared" si="110"/>
        <v>0</v>
      </c>
      <c r="D113" s="254">
        <f t="shared" si="110"/>
        <v>1</v>
      </c>
      <c r="E113" s="426" t="str">
        <f t="shared" si="110"/>
        <v>+</v>
      </c>
      <c r="F113" s="426">
        <f t="shared" si="110"/>
        <v>10</v>
      </c>
      <c r="G113" s="426" t="str">
        <f t="shared" si="110"/>
        <v>RUA VEREADOR FLÁVIO ROCHA</v>
      </c>
      <c r="H113" s="426" t="str">
        <f t="shared" si="110"/>
        <v>ESQUERDO</v>
      </c>
      <c r="I113" s="84">
        <f t="shared" si="96"/>
        <v>30</v>
      </c>
      <c r="J113" s="390">
        <v>0.45</v>
      </c>
      <c r="K113" s="390">
        <f t="shared" ref="K113" si="111">TRUNC(I113*J113,2)</f>
        <v>13.5</v>
      </c>
      <c r="L113" s="391" t="s">
        <v>49</v>
      </c>
      <c r="M113" s="407">
        <f t="shared" si="107"/>
        <v>13.5</v>
      </c>
    </row>
    <row r="114" spans="1:15" s="388" customFormat="1" ht="12" customHeight="1">
      <c r="A114" s="254">
        <f t="shared" ref="A114:H114" si="112">A34</f>
        <v>1</v>
      </c>
      <c r="B114" s="254" t="str">
        <f t="shared" si="112"/>
        <v>+</v>
      </c>
      <c r="C114" s="426">
        <f t="shared" si="112"/>
        <v>18</v>
      </c>
      <c r="D114" s="254">
        <f t="shared" si="112"/>
        <v>7</v>
      </c>
      <c r="E114" s="426" t="str">
        <f t="shared" si="112"/>
        <v>+</v>
      </c>
      <c r="F114" s="426">
        <f t="shared" si="112"/>
        <v>3</v>
      </c>
      <c r="G114" s="426" t="str">
        <f t="shared" si="112"/>
        <v>RUA VEREADOR FLÁVIO ROCHA</v>
      </c>
      <c r="H114" s="426" t="str">
        <f t="shared" si="112"/>
        <v>ESQUERDO</v>
      </c>
      <c r="I114" s="84">
        <f t="shared" ref="I114:I116" si="113">(D114*20+F114)-(A114*20+C114)</f>
        <v>105</v>
      </c>
      <c r="J114" s="390">
        <v>0.45</v>
      </c>
      <c r="K114" s="390">
        <f>TRUNC(I114*J114,2)</f>
        <v>47.25</v>
      </c>
      <c r="L114" s="391" t="s">
        <v>49</v>
      </c>
      <c r="M114" s="407">
        <f>K114</f>
        <v>47.25</v>
      </c>
    </row>
    <row r="115" spans="1:15" s="388" customFormat="1" ht="12" customHeight="1">
      <c r="A115" s="254">
        <f t="shared" ref="A115:H115" si="114">A35</f>
        <v>7</v>
      </c>
      <c r="B115" s="254" t="str">
        <f t="shared" si="114"/>
        <v>+</v>
      </c>
      <c r="C115" s="426">
        <f t="shared" si="114"/>
        <v>11</v>
      </c>
      <c r="D115" s="254">
        <f t="shared" si="114"/>
        <v>12</v>
      </c>
      <c r="E115" s="426" t="str">
        <f t="shared" si="114"/>
        <v>+</v>
      </c>
      <c r="F115" s="426">
        <f t="shared" si="114"/>
        <v>7</v>
      </c>
      <c r="G115" s="426" t="str">
        <f t="shared" si="114"/>
        <v>RUA VEREADOR FLÁVIO ROCHA</v>
      </c>
      <c r="H115" s="426" t="str">
        <f t="shared" si="114"/>
        <v>ESQUERDO</v>
      </c>
      <c r="I115" s="84">
        <f t="shared" si="113"/>
        <v>96</v>
      </c>
      <c r="J115" s="390">
        <v>0.45</v>
      </c>
      <c r="K115" s="390">
        <f t="shared" ref="K115" si="115">TRUNC(I115*J115,2)</f>
        <v>43.2</v>
      </c>
      <c r="L115" s="391" t="s">
        <v>49</v>
      </c>
      <c r="M115" s="407">
        <f t="shared" ref="M115:M116" si="116">K115</f>
        <v>43.2</v>
      </c>
    </row>
    <row r="116" spans="1:15" s="388" customFormat="1" ht="12" customHeight="1">
      <c r="A116" s="254">
        <f t="shared" ref="A116:H116" si="117">A36</f>
        <v>12</v>
      </c>
      <c r="B116" s="254" t="str">
        <f t="shared" si="117"/>
        <v>+</v>
      </c>
      <c r="C116" s="426">
        <f t="shared" si="117"/>
        <v>15</v>
      </c>
      <c r="D116" s="254">
        <f t="shared" si="117"/>
        <v>16</v>
      </c>
      <c r="E116" s="426" t="str">
        <f t="shared" si="117"/>
        <v>+</v>
      </c>
      <c r="F116" s="426">
        <f t="shared" si="117"/>
        <v>13</v>
      </c>
      <c r="G116" s="426" t="str">
        <f t="shared" si="117"/>
        <v>RUA VEREADOR FLÁVIO ROCHA</v>
      </c>
      <c r="H116" s="426" t="str">
        <f t="shared" si="117"/>
        <v>ESQUERDO</v>
      </c>
      <c r="I116" s="84">
        <f t="shared" si="113"/>
        <v>78</v>
      </c>
      <c r="J116" s="390">
        <v>0.45</v>
      </c>
      <c r="K116" s="390">
        <f>TRUNC(I116*J116,2)</f>
        <v>35.1</v>
      </c>
      <c r="L116" s="391" t="s">
        <v>49</v>
      </c>
      <c r="M116" s="407">
        <f t="shared" si="116"/>
        <v>35.1</v>
      </c>
    </row>
    <row r="117" spans="1:15" s="35" customFormat="1" ht="12" customHeight="1">
      <c r="A117" s="621" t="s">
        <v>24</v>
      </c>
      <c r="B117" s="622"/>
      <c r="C117" s="622"/>
      <c r="D117" s="622"/>
      <c r="E117" s="622"/>
      <c r="F117" s="622"/>
      <c r="G117" s="622"/>
      <c r="H117" s="622"/>
      <c r="I117" s="622"/>
      <c r="J117" s="622"/>
      <c r="K117" s="622"/>
      <c r="L117" s="623"/>
      <c r="M117" s="394">
        <f>SUM(M104:M116)</f>
        <v>346.5</v>
      </c>
      <c r="O117" s="263"/>
    </row>
    <row r="118" spans="1:15" ht="12" customHeight="1"/>
    <row r="119" spans="1:15" ht="12" customHeight="1"/>
    <row r="120" spans="1:15" ht="12" customHeight="1"/>
  </sheetData>
  <mergeCells count="31">
    <mergeCell ref="I2:J2"/>
    <mergeCell ref="K2:L2"/>
    <mergeCell ref="A22:M22"/>
    <mergeCell ref="A23:C23"/>
    <mergeCell ref="D23:F23"/>
    <mergeCell ref="A4:M4"/>
    <mergeCell ref="A5:C5"/>
    <mergeCell ref="D5:F5"/>
    <mergeCell ref="D1:M1"/>
    <mergeCell ref="D2:H2"/>
    <mergeCell ref="D3:L3"/>
    <mergeCell ref="A1:C3"/>
    <mergeCell ref="A100:L100"/>
    <mergeCell ref="A84:L84"/>
    <mergeCell ref="A86:M86"/>
    <mergeCell ref="A87:C87"/>
    <mergeCell ref="D87:F87"/>
    <mergeCell ref="A37:L37"/>
    <mergeCell ref="A39:M39"/>
    <mergeCell ref="A40:C40"/>
    <mergeCell ref="D40:F40"/>
    <mergeCell ref="A54:L54"/>
    <mergeCell ref="A19:L19"/>
    <mergeCell ref="A20:L20"/>
    <mergeCell ref="A102:M102"/>
    <mergeCell ref="A103:C103"/>
    <mergeCell ref="D103:F103"/>
    <mergeCell ref="A117:L117"/>
    <mergeCell ref="A56:M56"/>
    <mergeCell ref="A57:C57"/>
    <mergeCell ref="D57:F57"/>
  </mergeCells>
  <printOptions horizontalCentered="1"/>
  <pageMargins left="0.78740157480314965" right="0.59055118110236227" top="0.59055118110236227" bottom="0.78740157480314965" header="0" footer="0.19685039370078741"/>
  <pageSetup paperSize="9" scale="65" orientation="portrait" r:id="rId1"/>
  <headerFooter alignWithMargins="0">
    <oddFooter>&amp;CDARCIO PAGANI VIEIRA
ENGENHEIRO AGRIMENSOR
CREA/SC - 077.222-9</oddFooter>
  </headerFooter>
  <ignoredErrors>
    <ignoredError sqref="I80:I82 I78 I79 I58:I70 I41:I53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showGridLines="0" topLeftCell="A10" zoomScale="85" zoomScaleNormal="85" workbookViewId="0">
      <selection activeCell="F9" sqref="F9"/>
    </sheetView>
  </sheetViews>
  <sheetFormatPr defaultRowHeight="15"/>
  <cols>
    <col min="1" max="1" width="9.5703125" customWidth="1"/>
    <col min="2" max="2" width="10.7109375" customWidth="1"/>
    <col min="3" max="3" width="6.85546875" customWidth="1"/>
    <col min="4" max="4" width="64.28515625" customWidth="1"/>
    <col min="5" max="5" width="25.42578125" customWidth="1"/>
    <col min="6" max="6" width="12.28515625" customWidth="1"/>
    <col min="7" max="7" width="10.85546875" customWidth="1"/>
    <col min="8" max="8" width="12" customWidth="1"/>
    <col min="9" max="9" width="12.42578125" customWidth="1"/>
    <col min="10" max="10" width="19.140625" customWidth="1"/>
  </cols>
  <sheetData>
    <row r="1" spans="1:10" ht="14.25" customHeight="1">
      <c r="A1" s="27"/>
      <c r="B1" s="27"/>
      <c r="C1" s="27"/>
      <c r="D1" s="36" t="s">
        <v>62</v>
      </c>
      <c r="E1" s="5"/>
      <c r="F1" s="37" t="s">
        <v>63</v>
      </c>
      <c r="G1" s="5"/>
      <c r="H1" s="5"/>
      <c r="I1" s="5"/>
      <c r="J1" s="27"/>
    </row>
    <row r="2" spans="1:10">
      <c r="A2" s="27"/>
      <c r="B2" s="27"/>
      <c r="C2" s="27"/>
      <c r="D2" s="658" t="s">
        <v>16</v>
      </c>
      <c r="E2" s="659"/>
      <c r="F2" s="346"/>
      <c r="G2" s="347"/>
      <c r="H2" s="347"/>
      <c r="I2" s="348"/>
      <c r="J2" s="27"/>
    </row>
    <row r="3" spans="1:10" ht="14.25" customHeight="1">
      <c r="A3" s="27"/>
      <c r="B3" s="27"/>
      <c r="C3" s="27"/>
      <c r="D3" s="38" t="s">
        <v>64</v>
      </c>
      <c r="E3" s="5"/>
      <c r="F3" s="5"/>
      <c r="G3" s="5"/>
      <c r="H3" s="5"/>
      <c r="I3" s="5"/>
      <c r="J3" s="27"/>
    </row>
    <row r="4" spans="1:10">
      <c r="A4" s="27"/>
      <c r="B4" s="27"/>
      <c r="C4" s="27"/>
      <c r="D4" s="703" t="s">
        <v>209</v>
      </c>
      <c r="E4" s="704"/>
      <c r="F4" s="704"/>
      <c r="G4" s="704"/>
      <c r="H4" s="704"/>
      <c r="I4" s="705"/>
      <c r="J4" s="27"/>
    </row>
    <row r="5" spans="1:10" ht="14.25" customHeight="1">
      <c r="A5" s="27"/>
      <c r="B5" s="27"/>
      <c r="C5" s="27"/>
      <c r="D5" s="37" t="s">
        <v>65</v>
      </c>
      <c r="E5" s="37"/>
      <c r="F5" s="5"/>
      <c r="G5" s="5"/>
      <c r="H5" s="5"/>
      <c r="I5" s="5"/>
      <c r="J5" s="27"/>
    </row>
    <row r="6" spans="1:10">
      <c r="A6" s="27"/>
      <c r="B6" s="27"/>
      <c r="C6" s="27"/>
      <c r="D6" s="349" t="str">
        <f>TRILHA!G3</f>
        <v>TRILHA SUSPENSA - PARQUE ECOLÓGICO</v>
      </c>
      <c r="E6" s="706" t="str">
        <f>TRILHA!I2</f>
        <v>BAIRRO: GARAJUVA</v>
      </c>
      <c r="F6" s="707"/>
      <c r="G6" s="708"/>
      <c r="H6" s="716" t="str">
        <f ca="1">TRILHA!M3</f>
        <v>DATA: 07/08/24</v>
      </c>
      <c r="I6" s="717"/>
      <c r="J6" s="27"/>
    </row>
    <row r="7" spans="1:10" s="7" customFormat="1" ht="5.25" customHeight="1">
      <c r="A7" s="275"/>
      <c r="B7" s="275"/>
      <c r="C7" s="275"/>
      <c r="D7" s="350"/>
      <c r="E7" s="712"/>
      <c r="F7" s="712"/>
      <c r="G7" s="712"/>
      <c r="H7" s="718"/>
      <c r="I7" s="717"/>
      <c r="J7" s="275"/>
    </row>
    <row r="8" spans="1:10" s="233" customFormat="1" ht="14.25" customHeight="1">
      <c r="A8" s="27"/>
      <c r="B8" s="27"/>
      <c r="C8" s="27"/>
      <c r="D8" s="351" t="str">
        <f>TRILHA!K2</f>
        <v>MUNICIPIO: MARACAJÁ</v>
      </c>
      <c r="E8" s="713" t="str">
        <f>TRILHA!M2</f>
        <v>ESTADO: SANTA CATARINA</v>
      </c>
      <c r="F8" s="714"/>
      <c r="G8" s="715"/>
      <c r="H8" s="719"/>
      <c r="I8" s="720"/>
      <c r="J8" s="27"/>
    </row>
    <row r="9" spans="1:10" ht="5.25" customHeight="1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>
      <c r="A10" s="709" t="s">
        <v>402</v>
      </c>
      <c r="B10" s="710"/>
      <c r="C10" s="710"/>
      <c r="D10" s="710"/>
      <c r="E10" s="710"/>
      <c r="F10" s="710"/>
      <c r="G10" s="710"/>
      <c r="H10" s="710"/>
      <c r="I10" s="710"/>
      <c r="J10" s="710"/>
    </row>
    <row r="11" spans="1:10" ht="5.25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>
      <c r="A12" s="27"/>
      <c r="B12" s="27"/>
      <c r="C12" s="27"/>
      <c r="D12" s="53" t="s">
        <v>66</v>
      </c>
      <c r="E12" s="27"/>
      <c r="F12" s="27"/>
      <c r="G12" s="27"/>
      <c r="H12" s="27"/>
      <c r="I12" s="27"/>
      <c r="J12" s="27"/>
    </row>
    <row r="13" spans="1:10">
      <c r="A13" s="27"/>
      <c r="B13" s="27"/>
      <c r="C13" s="27"/>
      <c r="D13" s="39" t="s">
        <v>119</v>
      </c>
      <c r="E13" s="27"/>
      <c r="F13" s="27"/>
      <c r="G13" s="27"/>
      <c r="H13" s="27"/>
      <c r="I13" s="27"/>
      <c r="J13" s="27"/>
    </row>
    <row r="14" spans="1:10" ht="9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</row>
    <row r="15" spans="1:10">
      <c r="A15" s="27"/>
      <c r="B15" s="27"/>
      <c r="C15" s="711" t="s">
        <v>67</v>
      </c>
      <c r="D15" s="711"/>
      <c r="E15" s="711"/>
      <c r="F15" s="711"/>
      <c r="G15" s="711"/>
      <c r="H15" s="711"/>
      <c r="I15" s="711"/>
      <c r="J15" s="27"/>
    </row>
    <row r="16" spans="1:10" ht="35.25" customHeight="1">
      <c r="A16" s="27"/>
      <c r="B16" s="27"/>
      <c r="C16" s="41" t="s">
        <v>68</v>
      </c>
      <c r="D16" s="41" t="s">
        <v>69</v>
      </c>
      <c r="E16" s="41" t="s">
        <v>70</v>
      </c>
      <c r="F16" s="41" t="s">
        <v>71</v>
      </c>
      <c r="G16" s="284" t="s">
        <v>72</v>
      </c>
      <c r="H16" s="359" t="s">
        <v>73</v>
      </c>
      <c r="I16" s="359" t="s">
        <v>74</v>
      </c>
      <c r="J16" s="27"/>
    </row>
    <row r="17" spans="1:10">
      <c r="A17" s="27"/>
      <c r="B17" s="27"/>
      <c r="C17" s="196">
        <v>1</v>
      </c>
      <c r="D17" s="58" t="s">
        <v>75</v>
      </c>
      <c r="E17" s="196" t="s">
        <v>76</v>
      </c>
      <c r="F17" s="197">
        <v>3.7999999999999999E-2</v>
      </c>
      <c r="G17" s="198" t="s">
        <v>77</v>
      </c>
      <c r="H17" s="197">
        <v>3.7999999999999999E-2</v>
      </c>
      <c r="I17" s="197">
        <v>4.6699999999999998E-2</v>
      </c>
      <c r="J17" s="27"/>
    </row>
    <row r="18" spans="1:10">
      <c r="A18" s="27"/>
      <c r="B18" s="27"/>
      <c r="C18" s="41">
        <v>2</v>
      </c>
      <c r="D18" s="40" t="s">
        <v>78</v>
      </c>
      <c r="E18" s="41" t="s">
        <v>79</v>
      </c>
      <c r="F18" s="42">
        <v>3.2000000000000002E-3</v>
      </c>
      <c r="G18" s="41" t="s">
        <v>77</v>
      </c>
      <c r="H18" s="42">
        <v>3.2000000000000002E-3</v>
      </c>
      <c r="I18" s="42">
        <v>7.4000000000000003E-3</v>
      </c>
      <c r="J18" s="27"/>
    </row>
    <row r="19" spans="1:10">
      <c r="A19" s="27"/>
      <c r="B19" s="27"/>
      <c r="C19" s="41">
        <v>3</v>
      </c>
      <c r="D19" s="40" t="s">
        <v>80</v>
      </c>
      <c r="E19" s="41" t="s">
        <v>81</v>
      </c>
      <c r="F19" s="42">
        <v>5.0000000000000001E-3</v>
      </c>
      <c r="G19" s="41" t="s">
        <v>77</v>
      </c>
      <c r="H19" s="42">
        <v>5.0000000000000001E-3</v>
      </c>
      <c r="I19" s="42">
        <v>9.7000000000000003E-3</v>
      </c>
      <c r="J19" s="43"/>
    </row>
    <row r="20" spans="1:10">
      <c r="A20" s="27"/>
      <c r="B20" s="27"/>
      <c r="C20" s="41">
        <v>4</v>
      </c>
      <c r="D20" s="40" t="s">
        <v>82</v>
      </c>
      <c r="E20" s="41" t="s">
        <v>83</v>
      </c>
      <c r="F20" s="42">
        <v>1.0200000000000001E-2</v>
      </c>
      <c r="G20" s="41" t="s">
        <v>77</v>
      </c>
      <c r="H20" s="42">
        <v>1.0200000000000001E-2</v>
      </c>
      <c r="I20" s="42">
        <v>1.21E-2</v>
      </c>
      <c r="J20" s="43"/>
    </row>
    <row r="21" spans="1:10">
      <c r="A21" s="27"/>
      <c r="B21" s="27"/>
      <c r="C21" s="41">
        <v>5</v>
      </c>
      <c r="D21" s="40" t="s">
        <v>84</v>
      </c>
      <c r="E21" s="41" t="s">
        <v>85</v>
      </c>
      <c r="F21" s="42">
        <v>6.6400000000000001E-2</v>
      </c>
      <c r="G21" s="41" t="s">
        <v>77</v>
      </c>
      <c r="H21" s="42">
        <v>6.6400000000000001E-2</v>
      </c>
      <c r="I21" s="42">
        <v>8.6900000000000005E-2</v>
      </c>
      <c r="J21" s="43"/>
    </row>
    <row r="22" spans="1:10">
      <c r="A22" s="27"/>
      <c r="B22" s="27"/>
      <c r="C22" s="41">
        <v>6</v>
      </c>
      <c r="D22" s="40" t="s">
        <v>86</v>
      </c>
      <c r="E22" s="41" t="s">
        <v>87</v>
      </c>
      <c r="F22" s="42">
        <f>SUM(F23:F26)</f>
        <v>6.6500000000000004E-2</v>
      </c>
      <c r="G22" s="41" t="s">
        <v>77</v>
      </c>
      <c r="H22" s="42">
        <v>3.6499999999999998E-2</v>
      </c>
      <c r="I22" s="42">
        <v>8.6499999999999994E-2</v>
      </c>
      <c r="J22" s="698" t="s">
        <v>88</v>
      </c>
    </row>
    <row r="23" spans="1:10" ht="15" customHeight="1" thickBot="1">
      <c r="A23" s="27"/>
      <c r="B23" s="27"/>
      <c r="C23" s="41" t="s">
        <v>89</v>
      </c>
      <c r="D23" s="40" t="s">
        <v>90</v>
      </c>
      <c r="E23" s="41" t="s">
        <v>90</v>
      </c>
      <c r="F23" s="42">
        <v>6.4999999999999997E-3</v>
      </c>
      <c r="G23" s="41" t="s">
        <v>77</v>
      </c>
      <c r="H23" s="42">
        <v>6.4999999999999997E-3</v>
      </c>
      <c r="I23" s="42">
        <v>6.4999999999999997E-3</v>
      </c>
      <c r="J23" s="698"/>
    </row>
    <row r="24" spans="1:10">
      <c r="A24" s="699" t="s">
        <v>91</v>
      </c>
      <c r="B24" s="701" t="s">
        <v>92</v>
      </c>
      <c r="C24" s="41" t="s">
        <v>93</v>
      </c>
      <c r="D24" s="40" t="s">
        <v>94</v>
      </c>
      <c r="E24" s="41" t="s">
        <v>94</v>
      </c>
      <c r="F24" s="42">
        <v>0.03</v>
      </c>
      <c r="G24" s="41" t="s">
        <v>77</v>
      </c>
      <c r="H24" s="42">
        <v>0.03</v>
      </c>
      <c r="I24" s="42">
        <v>0.03</v>
      </c>
      <c r="J24" s="698"/>
    </row>
    <row r="25" spans="1:10" ht="15.75" thickBot="1">
      <c r="A25" s="700"/>
      <c r="B25" s="702"/>
      <c r="C25" s="41" t="s">
        <v>95</v>
      </c>
      <c r="D25" s="44" t="s">
        <v>96</v>
      </c>
      <c r="E25" s="45" t="s">
        <v>97</v>
      </c>
      <c r="F25" s="46">
        <v>0</v>
      </c>
      <c r="G25" s="41" t="s">
        <v>77</v>
      </c>
      <c r="H25" s="46">
        <v>4.4999999999999998E-2</v>
      </c>
      <c r="I25" s="46">
        <v>4.4999999999999998E-2</v>
      </c>
      <c r="J25" s="47" t="s">
        <v>98</v>
      </c>
    </row>
    <row r="26" spans="1:10" ht="15.75" thickBot="1">
      <c r="A26" s="48">
        <v>0.03</v>
      </c>
      <c r="B26" s="49">
        <v>1</v>
      </c>
      <c r="C26" s="195" t="s">
        <v>99</v>
      </c>
      <c r="D26" s="51" t="s">
        <v>100</v>
      </c>
      <c r="E26" s="50" t="s">
        <v>100</v>
      </c>
      <c r="F26" s="52">
        <v>0.03</v>
      </c>
      <c r="G26" s="41" t="s">
        <v>77</v>
      </c>
      <c r="H26" s="42">
        <v>0.02</v>
      </c>
      <c r="I26" s="42">
        <v>0.05</v>
      </c>
      <c r="J26" s="53"/>
    </row>
    <row r="27" spans="1:10">
      <c r="A27" s="43"/>
      <c r="B27" s="43"/>
      <c r="C27" s="43"/>
      <c r="D27" s="43"/>
      <c r="E27" s="681" t="s">
        <v>101</v>
      </c>
      <c r="F27" s="681"/>
      <c r="G27" s="681"/>
      <c r="H27" s="682" t="s">
        <v>102</v>
      </c>
      <c r="I27" s="683"/>
      <c r="J27" s="43"/>
    </row>
    <row r="28" spans="1:10" ht="12" customHeight="1">
      <c r="A28" s="43"/>
      <c r="B28" s="684" t="s">
        <v>103</v>
      </c>
      <c r="C28" s="685"/>
      <c r="D28" s="686"/>
      <c r="E28" s="43"/>
      <c r="F28" s="43"/>
      <c r="G28" s="43"/>
      <c r="H28" s="43"/>
      <c r="I28" s="43"/>
      <c r="J28" s="27"/>
    </row>
    <row r="29" spans="1:10">
      <c r="A29" s="43"/>
      <c r="B29" s="54"/>
      <c r="C29" s="55"/>
      <c r="D29" s="56"/>
      <c r="E29" s="43"/>
      <c r="F29" s="43"/>
      <c r="G29" s="43"/>
      <c r="H29" s="43"/>
      <c r="I29" s="43"/>
      <c r="J29" s="27"/>
    </row>
    <row r="30" spans="1:10">
      <c r="A30" s="43"/>
      <c r="B30" s="54"/>
      <c r="C30" s="687" t="s">
        <v>104</v>
      </c>
      <c r="D30" s="57" t="s">
        <v>105</v>
      </c>
      <c r="E30" s="688" t="s">
        <v>7</v>
      </c>
      <c r="F30" s="689">
        <f>TRUNC((((1+F17+F18+F19)*(1+F20)*(1+F21))/(1-F22))-1,4)</f>
        <v>0.20730000000000001</v>
      </c>
      <c r="G30" s="690" t="s">
        <v>106</v>
      </c>
      <c r="H30" s="691"/>
      <c r="I30" s="692"/>
      <c r="J30" s="27"/>
    </row>
    <row r="31" spans="1:10">
      <c r="A31" s="43"/>
      <c r="B31" s="54"/>
      <c r="C31" s="687"/>
      <c r="D31" s="55" t="s">
        <v>107</v>
      </c>
      <c r="E31" s="688"/>
      <c r="F31" s="689"/>
      <c r="G31" s="693"/>
      <c r="H31" s="693"/>
      <c r="I31" s="694"/>
      <c r="J31" s="27"/>
    </row>
    <row r="32" spans="1:10" ht="15" customHeight="1">
      <c r="A32" s="43"/>
      <c r="B32" s="58"/>
      <c r="C32" s="59"/>
      <c r="D32" s="60"/>
      <c r="E32" s="43"/>
      <c r="F32" s="43"/>
      <c r="G32" s="695"/>
      <c r="H32" s="696"/>
      <c r="I32" s="697"/>
      <c r="J32" s="27"/>
    </row>
    <row r="33" spans="1:10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>
      <c r="A34" s="27"/>
      <c r="B34" s="352"/>
      <c r="C34" s="353"/>
      <c r="D34" s="353"/>
      <c r="E34" s="353"/>
      <c r="F34" s="353"/>
      <c r="G34" s="353"/>
      <c r="H34" s="353"/>
      <c r="I34" s="354"/>
      <c r="J34" s="27"/>
    </row>
    <row r="35" spans="1:10">
      <c r="A35" s="27"/>
      <c r="B35" s="355"/>
      <c r="C35" s="356"/>
      <c r="D35" s="356"/>
      <c r="E35" s="356"/>
      <c r="F35" s="356"/>
      <c r="G35" s="356"/>
      <c r="H35" s="356"/>
      <c r="I35" s="357"/>
      <c r="J35" s="27"/>
    </row>
    <row r="36" spans="1:10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ht="15" customHeight="1">
      <c r="A37" s="27"/>
      <c r="B37" s="655" t="s">
        <v>403</v>
      </c>
      <c r="C37" s="656"/>
      <c r="D37" s="656"/>
      <c r="E37" s="656"/>
      <c r="F37" s="656"/>
      <c r="G37" s="656"/>
      <c r="H37" s="656"/>
      <c r="I37" s="657"/>
      <c r="J37" s="27"/>
    </row>
    <row r="38" spans="1:10">
      <c r="A38" s="27"/>
      <c r="B38" s="669" t="s">
        <v>108</v>
      </c>
      <c r="C38" s="669"/>
      <c r="D38" s="669"/>
      <c r="E38" s="669"/>
      <c r="F38" s="669"/>
      <c r="G38" s="669"/>
      <c r="H38" s="669"/>
      <c r="I38" s="669"/>
      <c r="J38" s="27"/>
    </row>
    <row r="39" spans="1:10">
      <c r="A39" s="27"/>
      <c r="B39" s="670" t="s">
        <v>404</v>
      </c>
      <c r="C39" s="670"/>
      <c r="D39" s="670"/>
      <c r="E39" s="670"/>
      <c r="F39" s="670"/>
      <c r="G39" s="670"/>
      <c r="H39" s="670"/>
      <c r="I39" s="670"/>
      <c r="J39" s="27"/>
    </row>
    <row r="40" spans="1:10">
      <c r="A40" s="27"/>
      <c r="B40" s="671" t="s">
        <v>109</v>
      </c>
      <c r="C40" s="671"/>
      <c r="D40" s="671"/>
      <c r="E40" s="671"/>
      <c r="F40" s="671"/>
      <c r="G40" s="671"/>
      <c r="H40" s="671"/>
      <c r="I40" s="671"/>
      <c r="J40" s="27"/>
    </row>
    <row r="41" spans="1:10">
      <c r="A41" s="27"/>
      <c r="B41" s="43"/>
      <c r="C41" s="43"/>
      <c r="D41" s="43"/>
      <c r="E41" s="43"/>
      <c r="F41" s="672" t="s">
        <v>110</v>
      </c>
      <c r="G41" s="673"/>
      <c r="H41" s="673"/>
      <c r="I41" s="674"/>
      <c r="J41" s="27"/>
    </row>
    <row r="42" spans="1:10">
      <c r="A42" s="27"/>
      <c r="B42" s="675"/>
      <c r="C42" s="676"/>
      <c r="D42" s="43"/>
      <c r="E42" s="43"/>
      <c r="F42" s="677" t="s">
        <v>111</v>
      </c>
      <c r="G42" s="678"/>
      <c r="H42" s="678"/>
      <c r="I42" s="679"/>
      <c r="J42" s="27"/>
    </row>
    <row r="43" spans="1:10">
      <c r="A43" s="27"/>
      <c r="B43" s="680"/>
      <c r="C43" s="680"/>
      <c r="D43" s="43"/>
      <c r="E43" s="43"/>
      <c r="F43" s="677"/>
      <c r="G43" s="678"/>
      <c r="H43" s="678"/>
      <c r="I43" s="679"/>
      <c r="J43" s="27"/>
    </row>
    <row r="44" spans="1:10">
      <c r="A44" s="27"/>
      <c r="B44" s="43"/>
      <c r="C44" s="43"/>
      <c r="D44" s="43"/>
      <c r="E44" s="43"/>
      <c r="F44" s="677"/>
      <c r="G44" s="678"/>
      <c r="H44" s="678"/>
      <c r="I44" s="679"/>
      <c r="J44" s="27"/>
    </row>
    <row r="45" spans="1:10">
      <c r="A45" s="27"/>
      <c r="B45" s="43"/>
      <c r="C45" s="43"/>
      <c r="D45" s="61"/>
      <c r="E45" s="43"/>
      <c r="F45" s="62"/>
      <c r="G45" s="63"/>
      <c r="H45" s="63"/>
      <c r="I45" s="64"/>
      <c r="J45" s="27"/>
    </row>
    <row r="46" spans="1:10">
      <c r="A46" s="27"/>
      <c r="B46" s="43"/>
      <c r="C46" s="43"/>
      <c r="D46" s="358" t="s">
        <v>112</v>
      </c>
      <c r="E46" s="43"/>
      <c r="F46" s="65"/>
      <c r="G46" s="66"/>
      <c r="H46" s="66"/>
      <c r="I46" s="67"/>
      <c r="J46" s="27"/>
    </row>
    <row r="47" spans="1:10">
      <c r="A47" s="27"/>
      <c r="B47" s="43"/>
      <c r="C47" s="43"/>
      <c r="D47" s="43" t="s">
        <v>551</v>
      </c>
      <c r="E47" s="43"/>
      <c r="F47" s="660" t="s">
        <v>113</v>
      </c>
      <c r="G47" s="661"/>
      <c r="H47" s="661"/>
      <c r="I47" s="662"/>
      <c r="J47" s="27"/>
    </row>
    <row r="48" spans="1:10">
      <c r="A48" s="27"/>
      <c r="B48" s="43"/>
      <c r="C48" s="43"/>
      <c r="D48" s="43" t="s">
        <v>552</v>
      </c>
      <c r="E48" s="43"/>
      <c r="F48" s="663" t="s">
        <v>114</v>
      </c>
      <c r="G48" s="664"/>
      <c r="H48" s="664"/>
      <c r="I48" s="665"/>
      <c r="J48" s="27"/>
    </row>
    <row r="49" spans="1:10">
      <c r="A49" s="27"/>
      <c r="B49" s="43"/>
      <c r="C49" s="43"/>
      <c r="D49" s="43" t="s">
        <v>115</v>
      </c>
      <c r="E49" s="43"/>
      <c r="F49" s="68" t="s">
        <v>116</v>
      </c>
      <c r="G49" s="69"/>
      <c r="H49" s="69"/>
      <c r="I49" s="70"/>
      <c r="J49" s="27"/>
    </row>
    <row r="50" spans="1:10">
      <c r="A50" s="27"/>
      <c r="B50" s="43"/>
      <c r="C50" s="43"/>
      <c r="D50" s="43"/>
      <c r="E50" s="43"/>
      <c r="F50" s="666" t="s">
        <v>117</v>
      </c>
      <c r="G50" s="667"/>
      <c r="H50" s="667"/>
      <c r="I50" s="668"/>
      <c r="J50" s="27"/>
    </row>
    <row r="51" spans="1:10">
      <c r="A51" s="27"/>
      <c r="B51" s="43"/>
      <c r="C51" s="43"/>
      <c r="D51" s="43"/>
      <c r="E51" s="43"/>
      <c r="F51" s="43"/>
      <c r="G51" s="43"/>
      <c r="H51" s="43"/>
      <c r="I51" s="43"/>
      <c r="J51" s="27"/>
    </row>
  </sheetData>
  <mergeCells count="29">
    <mergeCell ref="D4:I4"/>
    <mergeCell ref="E6:G6"/>
    <mergeCell ref="A10:J10"/>
    <mergeCell ref="C15:I15"/>
    <mergeCell ref="E7:G7"/>
    <mergeCell ref="E8:G8"/>
    <mergeCell ref="H6:I8"/>
    <mergeCell ref="E30:E31"/>
    <mergeCell ref="F30:F31"/>
    <mergeCell ref="G30:I32"/>
    <mergeCell ref="J22:J24"/>
    <mergeCell ref="A24:A25"/>
    <mergeCell ref="B24:B25"/>
    <mergeCell ref="B37:I37"/>
    <mergeCell ref="D2:E2"/>
    <mergeCell ref="F47:I47"/>
    <mergeCell ref="F48:I48"/>
    <mergeCell ref="F50:I50"/>
    <mergeCell ref="B38:I38"/>
    <mergeCell ref="B39:I39"/>
    <mergeCell ref="B40:I40"/>
    <mergeCell ref="F41:I41"/>
    <mergeCell ref="B42:C42"/>
    <mergeCell ref="F42:I44"/>
    <mergeCell ref="B43:C43"/>
    <mergeCell ref="E27:G27"/>
    <mergeCell ref="H27:I27"/>
    <mergeCell ref="B28:D28"/>
    <mergeCell ref="C30:C3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17</vt:i4>
      </vt:variant>
    </vt:vector>
  </HeadingPairs>
  <TitlesOfParts>
    <vt:vector size="31" baseType="lpstr">
      <vt:lpstr>ORÇAMENTO (PLANILHA ABERTA)</vt:lpstr>
      <vt:lpstr>ORÇAMENTO</vt:lpstr>
      <vt:lpstr>QCI</vt:lpstr>
      <vt:lpstr>CRONOGRAMA</vt:lpstr>
      <vt:lpstr>DIM. DREN.</vt:lpstr>
      <vt:lpstr>BACIAS</vt:lpstr>
      <vt:lpstr>TRILHA</vt:lpstr>
      <vt:lpstr>CALÇADA</vt:lpstr>
      <vt:lpstr>BDI</vt:lpstr>
      <vt:lpstr>COMP. SINAPI</vt:lpstr>
      <vt:lpstr>COMP. SICRO</vt:lpstr>
      <vt:lpstr>COTAÇÃO</vt:lpstr>
      <vt:lpstr>REAJUSTE</vt:lpstr>
      <vt:lpstr>MAT. BET.</vt:lpstr>
      <vt:lpstr>BDI!Area_de_impressao</vt:lpstr>
      <vt:lpstr>CALÇADA!Area_de_impressao</vt:lpstr>
      <vt:lpstr>'COMP. SICRO'!Area_de_impressao</vt:lpstr>
      <vt:lpstr>'COMP. SINAPI'!Area_de_impressao</vt:lpstr>
      <vt:lpstr>COTAÇÃO!Area_de_impressao</vt:lpstr>
      <vt:lpstr>CRONOGRAMA!Area_de_impressao</vt:lpstr>
      <vt:lpstr>'DIM. DREN.'!Area_de_impressao</vt:lpstr>
      <vt:lpstr>'MAT. BET.'!Area_de_impressao</vt:lpstr>
      <vt:lpstr>ORÇAMENTO!Area_de_impressao</vt:lpstr>
      <vt:lpstr>'ORÇAMENTO (PLANILHA ABERTA)'!Area_de_impressao</vt:lpstr>
      <vt:lpstr>REAJUSTE!Area_de_impressao</vt:lpstr>
      <vt:lpstr>TRILHA!Area_de_impressao</vt:lpstr>
      <vt:lpstr>CALÇADA!Titulos_de_impressao</vt:lpstr>
      <vt:lpstr>'COMP. SINAPI'!Titulos_de_impressao</vt:lpstr>
      <vt:lpstr>COTAÇÃO!Titulos_de_impressao</vt:lpstr>
      <vt:lpstr>'DIM. DREN.'!Titulos_de_impressao</vt:lpstr>
      <vt:lpstr>TRILHA!Titulos_de_impressao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2024-07-23T17:23:58Z</cp:lastPrinted>
  <dcterms:created xsi:type="dcterms:W3CDTF">2018-05-07T18:41:35Z</dcterms:created>
  <dcterms:modified xsi:type="dcterms:W3CDTF">2024-08-07T15:04:54Z</dcterms:modified>
</cp:coreProperties>
</file>