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0\Users\Servidor\Documents\Prefeitura_servidor\Compras\LICITAÇÕES 2024\117.2024 - Concorrência Microdrenagem Ruas José Marques - Vereador Flávio Rocha - 156 - Criciuma\"/>
    </mc:Choice>
  </mc:AlternateContent>
  <xr:revisionPtr revIDLastSave="0" documentId="8_{2E73CC87-2B50-4FB2-853E-964D2F51A0D2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ORÇAMENTO" sheetId="4" r:id="rId1"/>
    <sheet name="QCI" sheetId="3" state="hidden" r:id="rId2"/>
    <sheet name="CRONOGRAMA" sheetId="35" state="hidden" r:id="rId3"/>
    <sheet name="TERRAPL." sheetId="21" state="hidden" r:id="rId4"/>
    <sheet name="DIM. DREN." sheetId="19" state="hidden" r:id="rId5"/>
    <sheet name="BACIAS" sheetId="20" state="hidden" r:id="rId6"/>
    <sheet name="DRENAGEM" sheetId="31" state="hidden" r:id="rId7"/>
    <sheet name="PAVIM." sheetId="7" state="hidden" r:id="rId8"/>
    <sheet name="CALÇADA" sheetId="37" state="hidden" r:id="rId9"/>
    <sheet name="SINALIZAÇÃO" sheetId="33" state="hidden" r:id="rId10"/>
    <sheet name="BDI" sheetId="8" state="hidden" r:id="rId11"/>
    <sheet name="COMP. SINAPI" sheetId="28" state="hidden" r:id="rId12"/>
    <sheet name="COMP. SICRO" sheetId="13" state="hidden" r:id="rId13"/>
    <sheet name="COTAÇÃO" sheetId="36" state="hidden" r:id="rId14"/>
    <sheet name="REAJUSTE" sheetId="34" state="hidden" r:id="rId15"/>
    <sheet name="MAT. BET." sheetId="14" state="hidden" r:id="rId16"/>
  </sheets>
  <externalReferences>
    <externalReference r:id="rId17"/>
    <externalReference r:id="rId18"/>
  </externalReferences>
  <definedNames>
    <definedName name="_xlnm._FilterDatabase" localSheetId="3" hidden="1">TERRAPL.!#REF!</definedName>
    <definedName name="_Toc328556484" localSheetId="14">REAJUSTE!#REF!</definedName>
    <definedName name="_xlnm.Print_Area" localSheetId="10">BDI!$A$1:$J$50</definedName>
    <definedName name="_xlnm.Print_Area" localSheetId="8">CALÇADA!$A$1:$M$117</definedName>
    <definedName name="_xlnm.Print_Area" localSheetId="12">'COMP. SICRO'!$A$1:$H$111</definedName>
    <definedName name="_xlnm.Print_Area" localSheetId="11">'COMP. SINAPI'!$A$1:$G$30</definedName>
    <definedName name="_xlnm.Print_Area" localSheetId="13">COTAÇÃO!$A$1:$F$180</definedName>
    <definedName name="_xlnm.Print_Area" localSheetId="2">CRONOGRAMA!$A$1:$Y$57</definedName>
    <definedName name="_xlnm.Print_Area" localSheetId="4">'DIM. DREN.'!$A$2:$K$67</definedName>
    <definedName name="_xlnm.Print_Area" localSheetId="6">DRENAGEM!$A$1:$AE$40</definedName>
    <definedName name="_xlnm.Print_Area" localSheetId="15">'MAT. BET.'!$A$1:$E$35</definedName>
    <definedName name="_xlnm.Print_Area" localSheetId="0">ORÇAMENTO!$A$2:$L$73</definedName>
    <definedName name="_xlnm.Print_Area" localSheetId="7">PAVIM.!$A$1:$M$68</definedName>
    <definedName name="_xlnm.Print_Area" localSheetId="14">REAJUSTE!$A$1:$E$64</definedName>
    <definedName name="_xlnm.Print_Area" localSheetId="9">SINALIZAÇÃO!$A$1:$M$80</definedName>
    <definedName name="_xlnm.Print_Area" localSheetId="3">TERRAPL.!$A$1:$J$37</definedName>
    <definedName name="matriz">[1]BDI!$Q$17:$V$21</definedName>
    <definedName name="matriz2">[1]BDI!$Q$23:$V$27</definedName>
    <definedName name="TESTE">[2]BDI!XEV:XEV*[2]BDI!XEW:XEW</definedName>
    <definedName name="_xlnm.Print_Titles" localSheetId="8">CALÇADA!$1:$3</definedName>
    <definedName name="_xlnm.Print_Titles" localSheetId="11">'COMP. SINAPI'!$1:$4</definedName>
    <definedName name="_xlnm.Print_Titles" localSheetId="13">COTAÇÃO!$1:$1</definedName>
    <definedName name="_xlnm.Print_Titles" localSheetId="4">'DIM. DREN.'!$2:$7</definedName>
    <definedName name="_xlnm.Print_Titles" localSheetId="6">DRENAGEM!$1:$5</definedName>
    <definedName name="_xlnm.Print_Titles" localSheetId="7">PAVIM.!$1:$3</definedName>
    <definedName name="_xlnm.Print_Titles" localSheetId="3">TERRAPL.!$1:$4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5" l="1"/>
  <c r="E7" i="35"/>
  <c r="G7" i="35"/>
  <c r="M51" i="7" l="1"/>
  <c r="M38" i="7"/>
  <c r="E115" i="37"/>
  <c r="A113" i="37"/>
  <c r="E111" i="37"/>
  <c r="E109" i="37"/>
  <c r="A109" i="37"/>
  <c r="E106" i="37"/>
  <c r="A104" i="37"/>
  <c r="I90" i="37"/>
  <c r="K90" i="37" s="1"/>
  <c r="M90" i="37" s="1"/>
  <c r="H36" i="37"/>
  <c r="H116" i="37" s="1"/>
  <c r="F36" i="37"/>
  <c r="F116" i="37" s="1"/>
  <c r="E36" i="37"/>
  <c r="E116" i="37" s="1"/>
  <c r="D36" i="37"/>
  <c r="M36" i="37" s="1"/>
  <c r="C36" i="37"/>
  <c r="C116" i="37" s="1"/>
  <c r="B36" i="37"/>
  <c r="B116" i="37" s="1"/>
  <c r="A36" i="37"/>
  <c r="A116" i="37" s="1"/>
  <c r="H35" i="37"/>
  <c r="H115" i="37" s="1"/>
  <c r="F35" i="37"/>
  <c r="F115" i="37" s="1"/>
  <c r="E35" i="37"/>
  <c r="D35" i="37"/>
  <c r="D115" i="37" s="1"/>
  <c r="C35" i="37"/>
  <c r="C115" i="37" s="1"/>
  <c r="B35" i="37"/>
  <c r="B115" i="37" s="1"/>
  <c r="A35" i="37"/>
  <c r="A115" i="37" s="1"/>
  <c r="H34" i="37"/>
  <c r="H114" i="37" s="1"/>
  <c r="F34" i="37"/>
  <c r="F114" i="37" s="1"/>
  <c r="E34" i="37"/>
  <c r="E114" i="37" s="1"/>
  <c r="D34" i="37"/>
  <c r="D114" i="37" s="1"/>
  <c r="C34" i="37"/>
  <c r="C114" i="37" s="1"/>
  <c r="B34" i="37"/>
  <c r="B114" i="37" s="1"/>
  <c r="A34" i="37"/>
  <c r="M34" i="37" s="1"/>
  <c r="H33" i="37"/>
  <c r="H113" i="37" s="1"/>
  <c r="F33" i="37"/>
  <c r="F113" i="37" s="1"/>
  <c r="E33" i="37"/>
  <c r="E113" i="37" s="1"/>
  <c r="D33" i="37"/>
  <c r="D113" i="37" s="1"/>
  <c r="C33" i="37"/>
  <c r="C113" i="37" s="1"/>
  <c r="B33" i="37"/>
  <c r="B113" i="37" s="1"/>
  <c r="A33" i="37"/>
  <c r="H32" i="37"/>
  <c r="H112" i="37" s="1"/>
  <c r="F32" i="37"/>
  <c r="F112" i="37" s="1"/>
  <c r="E32" i="37"/>
  <c r="E112" i="37" s="1"/>
  <c r="D32" i="37"/>
  <c r="D112" i="37" s="1"/>
  <c r="C32" i="37"/>
  <c r="C112" i="37" s="1"/>
  <c r="B32" i="37"/>
  <c r="B112" i="37" s="1"/>
  <c r="A32" i="37"/>
  <c r="M32" i="37" s="1"/>
  <c r="H31" i="37"/>
  <c r="H111" i="37" s="1"/>
  <c r="F31" i="37"/>
  <c r="F111" i="37" s="1"/>
  <c r="E31" i="37"/>
  <c r="D31" i="37"/>
  <c r="D111" i="37" s="1"/>
  <c r="C31" i="37"/>
  <c r="C111" i="37" s="1"/>
  <c r="B31" i="37"/>
  <c r="B111" i="37" s="1"/>
  <c r="A31" i="37"/>
  <c r="M31" i="37" s="1"/>
  <c r="H30" i="37"/>
  <c r="H110" i="37" s="1"/>
  <c r="F30" i="37"/>
  <c r="F110" i="37" s="1"/>
  <c r="E30" i="37"/>
  <c r="E110" i="37" s="1"/>
  <c r="D30" i="37"/>
  <c r="M30" i="37" s="1"/>
  <c r="C30" i="37"/>
  <c r="C110" i="37" s="1"/>
  <c r="B30" i="37"/>
  <c r="B110" i="37" s="1"/>
  <c r="A30" i="37"/>
  <c r="A110" i="37" s="1"/>
  <c r="H29" i="37"/>
  <c r="H109" i="37" s="1"/>
  <c r="F29" i="37"/>
  <c r="F109" i="37" s="1"/>
  <c r="E29" i="37"/>
  <c r="D29" i="37"/>
  <c r="D109" i="37" s="1"/>
  <c r="C29" i="37"/>
  <c r="C109" i="37" s="1"/>
  <c r="B29" i="37"/>
  <c r="B109" i="37" s="1"/>
  <c r="A29" i="37"/>
  <c r="M29" i="37" s="1"/>
  <c r="H28" i="37"/>
  <c r="H108" i="37" s="1"/>
  <c r="G28" i="37"/>
  <c r="G108" i="37" s="1"/>
  <c r="F28" i="37"/>
  <c r="F108" i="37" s="1"/>
  <c r="E28" i="37"/>
  <c r="E108" i="37" s="1"/>
  <c r="D28" i="37"/>
  <c r="D108" i="37" s="1"/>
  <c r="C28" i="37"/>
  <c r="C108" i="37" s="1"/>
  <c r="B28" i="37"/>
  <c r="B108" i="37" s="1"/>
  <c r="A28" i="37"/>
  <c r="A108" i="37" s="1"/>
  <c r="H27" i="37"/>
  <c r="H107" i="37" s="1"/>
  <c r="F27" i="37"/>
  <c r="F107" i="37" s="1"/>
  <c r="E27" i="37"/>
  <c r="E107" i="37" s="1"/>
  <c r="D27" i="37"/>
  <c r="D107" i="37" s="1"/>
  <c r="C27" i="37"/>
  <c r="C107" i="37" s="1"/>
  <c r="B27" i="37"/>
  <c r="B107" i="37" s="1"/>
  <c r="A27" i="37"/>
  <c r="A107" i="37" s="1"/>
  <c r="H26" i="37"/>
  <c r="H106" i="37" s="1"/>
  <c r="F26" i="37"/>
  <c r="F106" i="37" s="1"/>
  <c r="E26" i="37"/>
  <c r="D26" i="37"/>
  <c r="D106" i="37" s="1"/>
  <c r="C26" i="37"/>
  <c r="C106" i="37" s="1"/>
  <c r="B26" i="37"/>
  <c r="B106" i="37" s="1"/>
  <c r="A26" i="37"/>
  <c r="A106" i="37" s="1"/>
  <c r="H25" i="37"/>
  <c r="H105" i="37" s="1"/>
  <c r="F25" i="37"/>
  <c r="F105" i="37" s="1"/>
  <c r="E25" i="37"/>
  <c r="E105" i="37" s="1"/>
  <c r="D25" i="37"/>
  <c r="D105" i="37" s="1"/>
  <c r="C25" i="37"/>
  <c r="C105" i="37" s="1"/>
  <c r="B25" i="37"/>
  <c r="B105" i="37" s="1"/>
  <c r="A25" i="37"/>
  <c r="A105" i="37" s="1"/>
  <c r="H24" i="37"/>
  <c r="H104" i="37" s="1"/>
  <c r="G24" i="37"/>
  <c r="G104" i="37" s="1"/>
  <c r="F24" i="37"/>
  <c r="F104" i="37" s="1"/>
  <c r="E24" i="37"/>
  <c r="E104" i="37" s="1"/>
  <c r="D24" i="37"/>
  <c r="D104" i="37" s="1"/>
  <c r="C24" i="37"/>
  <c r="C104" i="37" s="1"/>
  <c r="B24" i="37"/>
  <c r="B104" i="37" s="1"/>
  <c r="A24" i="37"/>
  <c r="H42" i="37"/>
  <c r="H59" i="37" s="1"/>
  <c r="H72" i="37" s="1"/>
  <c r="H43" i="37"/>
  <c r="H88" i="37" s="1"/>
  <c r="H44" i="37"/>
  <c r="H61" i="37" s="1"/>
  <c r="H74" i="37" s="1"/>
  <c r="H45" i="37"/>
  <c r="H62" i="37" s="1"/>
  <c r="H75" i="37" s="1"/>
  <c r="H46" i="37"/>
  <c r="H92" i="37" s="1"/>
  <c r="H47" i="37"/>
  <c r="H93" i="37" s="1"/>
  <c r="H48" i="37"/>
  <c r="H65" i="37" s="1"/>
  <c r="H78" i="37" s="1"/>
  <c r="H49" i="37"/>
  <c r="H66" i="37" s="1"/>
  <c r="H79" i="37" s="1"/>
  <c r="H50" i="37"/>
  <c r="H96" i="37" s="1"/>
  <c r="H51" i="37"/>
  <c r="H97" i="37" s="1"/>
  <c r="H52" i="37"/>
  <c r="H69" i="37" s="1"/>
  <c r="H82" i="37" s="1"/>
  <c r="H53" i="37"/>
  <c r="H70" i="37" s="1"/>
  <c r="H83" i="37" s="1"/>
  <c r="H41" i="37"/>
  <c r="J53" i="37"/>
  <c r="J70" i="37" s="1"/>
  <c r="J83" i="37" s="1"/>
  <c r="J52" i="37"/>
  <c r="J69" i="37" s="1"/>
  <c r="J82" i="37" s="1"/>
  <c r="J51" i="37"/>
  <c r="J68" i="37" s="1"/>
  <c r="J81" i="37" s="1"/>
  <c r="J50" i="37"/>
  <c r="J67" i="37" s="1"/>
  <c r="J80" i="37" s="1"/>
  <c r="J49" i="37"/>
  <c r="J66" i="37" s="1"/>
  <c r="J79" i="37" s="1"/>
  <c r="J48" i="37"/>
  <c r="J65" i="37" s="1"/>
  <c r="J78" i="37" s="1"/>
  <c r="J47" i="37"/>
  <c r="J64" i="37" s="1"/>
  <c r="J77" i="37" s="1"/>
  <c r="J46" i="37"/>
  <c r="J63" i="37" s="1"/>
  <c r="J76" i="37" s="1"/>
  <c r="J45" i="37"/>
  <c r="J62" i="37" s="1"/>
  <c r="J75" i="37" s="1"/>
  <c r="J44" i="37"/>
  <c r="J61" i="37" s="1"/>
  <c r="J74" i="37" s="1"/>
  <c r="J43" i="37"/>
  <c r="J60" i="37" s="1"/>
  <c r="J73" i="37" s="1"/>
  <c r="J42" i="37"/>
  <c r="J59" i="37" s="1"/>
  <c r="J72" i="37" s="1"/>
  <c r="J41" i="37"/>
  <c r="J58" i="37" s="1"/>
  <c r="J71" i="37" s="1"/>
  <c r="F53" i="37"/>
  <c r="F70" i="37" s="1"/>
  <c r="F83" i="37" s="1"/>
  <c r="E53" i="37"/>
  <c r="E70" i="37" s="1"/>
  <c r="E83" i="37" s="1"/>
  <c r="D53" i="37"/>
  <c r="D99" i="37" s="1"/>
  <c r="C53" i="37"/>
  <c r="C70" i="37" s="1"/>
  <c r="C83" i="37" s="1"/>
  <c r="B53" i="37"/>
  <c r="B70" i="37" s="1"/>
  <c r="B83" i="37" s="1"/>
  <c r="A53" i="37"/>
  <c r="A70" i="37" s="1"/>
  <c r="A83" i="37" s="1"/>
  <c r="F52" i="37"/>
  <c r="F69" i="37" s="1"/>
  <c r="F82" i="37" s="1"/>
  <c r="E52" i="37"/>
  <c r="E69" i="37" s="1"/>
  <c r="E82" i="37" s="1"/>
  <c r="D52" i="37"/>
  <c r="D69" i="37" s="1"/>
  <c r="D82" i="37" s="1"/>
  <c r="C52" i="37"/>
  <c r="C69" i="37" s="1"/>
  <c r="C82" i="37" s="1"/>
  <c r="B52" i="37"/>
  <c r="B69" i="37" s="1"/>
  <c r="B82" i="37" s="1"/>
  <c r="A52" i="37"/>
  <c r="A69" i="37" s="1"/>
  <c r="A82" i="37" s="1"/>
  <c r="F51" i="37"/>
  <c r="F97" i="37" s="1"/>
  <c r="E51" i="37"/>
  <c r="E68" i="37" s="1"/>
  <c r="E81" i="37" s="1"/>
  <c r="D51" i="37"/>
  <c r="D68" i="37" s="1"/>
  <c r="D81" i="37" s="1"/>
  <c r="C51" i="37"/>
  <c r="C68" i="37" s="1"/>
  <c r="C81" i="37" s="1"/>
  <c r="B51" i="37"/>
  <c r="B68" i="37" s="1"/>
  <c r="B81" i="37" s="1"/>
  <c r="A51" i="37"/>
  <c r="A68" i="37" s="1"/>
  <c r="A81" i="37" s="1"/>
  <c r="F50" i="37"/>
  <c r="F67" i="37" s="1"/>
  <c r="F80" i="37" s="1"/>
  <c r="E50" i="37"/>
  <c r="E67" i="37" s="1"/>
  <c r="E80" i="37" s="1"/>
  <c r="D50" i="37"/>
  <c r="D67" i="37" s="1"/>
  <c r="D80" i="37" s="1"/>
  <c r="C50" i="37"/>
  <c r="C67" i="37" s="1"/>
  <c r="C80" i="37" s="1"/>
  <c r="B50" i="37"/>
  <c r="B67" i="37" s="1"/>
  <c r="B80" i="37" s="1"/>
  <c r="A50" i="37"/>
  <c r="A67" i="37" s="1"/>
  <c r="A80" i="37" s="1"/>
  <c r="F49" i="37"/>
  <c r="F66" i="37" s="1"/>
  <c r="F79" i="37" s="1"/>
  <c r="E49" i="37"/>
  <c r="E66" i="37" s="1"/>
  <c r="E79" i="37" s="1"/>
  <c r="D49" i="37"/>
  <c r="D95" i="37" s="1"/>
  <c r="C49" i="37"/>
  <c r="C66" i="37" s="1"/>
  <c r="C79" i="37" s="1"/>
  <c r="B49" i="37"/>
  <c r="B66" i="37" s="1"/>
  <c r="B79" i="37" s="1"/>
  <c r="A49" i="37"/>
  <c r="A66" i="37" s="1"/>
  <c r="A79" i="37" s="1"/>
  <c r="F48" i="37"/>
  <c r="F65" i="37" s="1"/>
  <c r="E48" i="37"/>
  <c r="E65" i="37" s="1"/>
  <c r="E78" i="37" s="1"/>
  <c r="D48" i="37"/>
  <c r="D65" i="37" s="1"/>
  <c r="D78" i="37" s="1"/>
  <c r="C48" i="37"/>
  <c r="C65" i="37" s="1"/>
  <c r="C78" i="37" s="1"/>
  <c r="B48" i="37"/>
  <c r="B65" i="37" s="1"/>
  <c r="B78" i="37" s="1"/>
  <c r="A48" i="37"/>
  <c r="A65" i="37" s="1"/>
  <c r="A78" i="37" s="1"/>
  <c r="F47" i="37"/>
  <c r="F93" i="37" s="1"/>
  <c r="E47" i="37"/>
  <c r="E64" i="37" s="1"/>
  <c r="E77" i="37" s="1"/>
  <c r="D47" i="37"/>
  <c r="D64" i="37" s="1"/>
  <c r="D77" i="37" s="1"/>
  <c r="C47" i="37"/>
  <c r="C64" i="37" s="1"/>
  <c r="C77" i="37" s="1"/>
  <c r="B47" i="37"/>
  <c r="B64" i="37" s="1"/>
  <c r="B77" i="37" s="1"/>
  <c r="A47" i="37"/>
  <c r="A64" i="37" s="1"/>
  <c r="A77" i="37" s="1"/>
  <c r="F46" i="37"/>
  <c r="F63" i="37" s="1"/>
  <c r="F76" i="37" s="1"/>
  <c r="E46" i="37"/>
  <c r="E63" i="37" s="1"/>
  <c r="E76" i="37" s="1"/>
  <c r="D46" i="37"/>
  <c r="D63" i="37" s="1"/>
  <c r="D76" i="37" s="1"/>
  <c r="C46" i="37"/>
  <c r="C63" i="37" s="1"/>
  <c r="C76" i="37" s="1"/>
  <c r="B46" i="37"/>
  <c r="B63" i="37" s="1"/>
  <c r="B76" i="37" s="1"/>
  <c r="A46" i="37"/>
  <c r="A92" i="37" s="1"/>
  <c r="G45" i="37"/>
  <c r="G62" i="37" s="1"/>
  <c r="G75" i="37" s="1"/>
  <c r="F45" i="37"/>
  <c r="F62" i="37" s="1"/>
  <c r="E45" i="37"/>
  <c r="E62" i="37" s="1"/>
  <c r="E75" i="37" s="1"/>
  <c r="D45" i="37"/>
  <c r="C45" i="37"/>
  <c r="C62" i="37" s="1"/>
  <c r="C75" i="37" s="1"/>
  <c r="B45" i="37"/>
  <c r="B62" i="37" s="1"/>
  <c r="B75" i="37" s="1"/>
  <c r="A45" i="37"/>
  <c r="A62" i="37" s="1"/>
  <c r="A75" i="37" s="1"/>
  <c r="F44" i="37"/>
  <c r="F61" i="37" s="1"/>
  <c r="F74" i="37" s="1"/>
  <c r="E44" i="37"/>
  <c r="E61" i="37" s="1"/>
  <c r="E74" i="37" s="1"/>
  <c r="D44" i="37"/>
  <c r="D61" i="37" s="1"/>
  <c r="D74" i="37" s="1"/>
  <c r="C44" i="37"/>
  <c r="B44" i="37"/>
  <c r="B61" i="37" s="1"/>
  <c r="B74" i="37" s="1"/>
  <c r="A44" i="37"/>
  <c r="A61" i="37" s="1"/>
  <c r="A74" i="37" s="1"/>
  <c r="F43" i="37"/>
  <c r="F60" i="37" s="1"/>
  <c r="F73" i="37" s="1"/>
  <c r="E43" i="37"/>
  <c r="E60" i="37" s="1"/>
  <c r="E73" i="37" s="1"/>
  <c r="D43" i="37"/>
  <c r="D60" i="37" s="1"/>
  <c r="D73" i="37" s="1"/>
  <c r="C43" i="37"/>
  <c r="C60" i="37" s="1"/>
  <c r="C73" i="37" s="1"/>
  <c r="B43" i="37"/>
  <c r="B60" i="37" s="1"/>
  <c r="B73" i="37" s="1"/>
  <c r="A43" i="37"/>
  <c r="A60" i="37" s="1"/>
  <c r="A73" i="37" s="1"/>
  <c r="F42" i="37"/>
  <c r="F59" i="37" s="1"/>
  <c r="F72" i="37" s="1"/>
  <c r="E42" i="37"/>
  <c r="E59" i="37" s="1"/>
  <c r="E72" i="37" s="1"/>
  <c r="D42" i="37"/>
  <c r="D59" i="37" s="1"/>
  <c r="D72" i="37" s="1"/>
  <c r="C42" i="37"/>
  <c r="C59" i="37" s="1"/>
  <c r="C72" i="37" s="1"/>
  <c r="B42" i="37"/>
  <c r="B59" i="37" s="1"/>
  <c r="B72" i="37" s="1"/>
  <c r="A42" i="37"/>
  <c r="G41" i="37"/>
  <c r="G58" i="37" s="1"/>
  <c r="G71" i="37" s="1"/>
  <c r="F41" i="37"/>
  <c r="F58" i="37" s="1"/>
  <c r="F71" i="37" s="1"/>
  <c r="E41" i="37"/>
  <c r="E58" i="37" s="1"/>
  <c r="E71" i="37" s="1"/>
  <c r="D41" i="37"/>
  <c r="D58" i="37" s="1"/>
  <c r="D71" i="37" s="1"/>
  <c r="C41" i="37"/>
  <c r="C58" i="37" s="1"/>
  <c r="C71" i="37" s="1"/>
  <c r="B41" i="37"/>
  <c r="B58" i="37" s="1"/>
  <c r="B71" i="37" s="1"/>
  <c r="A41" i="37"/>
  <c r="A58" i="37" s="1"/>
  <c r="A71" i="37" s="1"/>
  <c r="I18" i="37"/>
  <c r="K18" i="37" s="1"/>
  <c r="M18" i="37" s="1"/>
  <c r="I16" i="37"/>
  <c r="K16" i="37" s="1"/>
  <c r="M16" i="37" s="1"/>
  <c r="I17" i="37"/>
  <c r="K17" i="37" s="1"/>
  <c r="M17" i="37" s="1"/>
  <c r="I15" i="37"/>
  <c r="K15" i="37" s="1"/>
  <c r="M15" i="37" s="1"/>
  <c r="I14" i="37"/>
  <c r="K14" i="37" s="1"/>
  <c r="M14" i="37" s="1"/>
  <c r="I13" i="37"/>
  <c r="K13" i="37" s="1"/>
  <c r="M13" i="37" s="1"/>
  <c r="I12" i="37"/>
  <c r="K12" i="37" s="1"/>
  <c r="M12" i="37" s="1"/>
  <c r="G7" i="37"/>
  <c r="G42" i="37" s="1"/>
  <c r="G59" i="37" s="1"/>
  <c r="G72" i="37" s="1"/>
  <c r="I7" i="37"/>
  <c r="K7" i="37" s="1"/>
  <c r="M7" i="37" s="1"/>
  <c r="I9" i="37"/>
  <c r="K9" i="37" s="1"/>
  <c r="M9" i="37" s="1"/>
  <c r="G11" i="37"/>
  <c r="G46" i="37" s="1"/>
  <c r="G63" i="37" s="1"/>
  <c r="G76" i="37" s="1"/>
  <c r="D110" i="37" l="1"/>
  <c r="A114" i="37"/>
  <c r="A111" i="37"/>
  <c r="A112" i="37"/>
  <c r="D116" i="37"/>
  <c r="I116" i="37" s="1"/>
  <c r="K116" i="37" s="1"/>
  <c r="M116" i="37" s="1"/>
  <c r="H60" i="37"/>
  <c r="H73" i="37" s="1"/>
  <c r="I106" i="37"/>
  <c r="K106" i="37" s="1"/>
  <c r="M106" i="37" s="1"/>
  <c r="H63" i="37"/>
  <c r="H76" i="37" s="1"/>
  <c r="E90" i="37"/>
  <c r="H64" i="37"/>
  <c r="H77" i="37" s="1"/>
  <c r="H68" i="37"/>
  <c r="H81" i="37" s="1"/>
  <c r="B90" i="37"/>
  <c r="A63" i="37"/>
  <c r="A76" i="37" s="1"/>
  <c r="I76" i="37" s="1"/>
  <c r="K76" i="37" s="1"/>
  <c r="M76" i="37" s="1"/>
  <c r="I25" i="37"/>
  <c r="M25" i="37" s="1"/>
  <c r="E89" i="37"/>
  <c r="E92" i="37"/>
  <c r="E96" i="37"/>
  <c r="A96" i="37"/>
  <c r="H67" i="37"/>
  <c r="H80" i="37" s="1"/>
  <c r="A88" i="37"/>
  <c r="A91" i="37"/>
  <c r="A94" i="37"/>
  <c r="A98" i="37"/>
  <c r="E88" i="37"/>
  <c r="E91" i="37"/>
  <c r="E94" i="37"/>
  <c r="E98" i="37"/>
  <c r="A95" i="37"/>
  <c r="E95" i="37"/>
  <c r="A97" i="37"/>
  <c r="E97" i="37"/>
  <c r="A99" i="37"/>
  <c r="I28" i="37"/>
  <c r="M28" i="37" s="1"/>
  <c r="B88" i="37"/>
  <c r="B89" i="37"/>
  <c r="F89" i="37"/>
  <c r="B91" i="37"/>
  <c r="B92" i="37"/>
  <c r="F92" i="37"/>
  <c r="B93" i="37"/>
  <c r="B94" i="37"/>
  <c r="F94" i="37"/>
  <c r="B95" i="37"/>
  <c r="F95" i="37"/>
  <c r="B96" i="37"/>
  <c r="F96" i="37"/>
  <c r="B97" i="37"/>
  <c r="B98" i="37"/>
  <c r="F98" i="37"/>
  <c r="B99" i="37"/>
  <c r="F99" i="37"/>
  <c r="A93" i="37"/>
  <c r="E99" i="37"/>
  <c r="I27" i="37"/>
  <c r="M27" i="37" s="1"/>
  <c r="C88" i="37"/>
  <c r="I88" i="37" s="1"/>
  <c r="K88" i="37" s="1"/>
  <c r="M88" i="37" s="1"/>
  <c r="C91" i="37"/>
  <c r="G91" i="37"/>
  <c r="C92" i="37"/>
  <c r="G92" i="37"/>
  <c r="C93" i="37"/>
  <c r="C94" i="37"/>
  <c r="C95" i="37"/>
  <c r="C96" i="37"/>
  <c r="C97" i="37"/>
  <c r="C98" i="37"/>
  <c r="C99" i="37"/>
  <c r="E93" i="37"/>
  <c r="I26" i="37"/>
  <c r="M26" i="37" s="1"/>
  <c r="H89" i="37"/>
  <c r="H91" i="37"/>
  <c r="D92" i="37"/>
  <c r="I108" i="37" s="1"/>
  <c r="K108" i="37" s="1"/>
  <c r="M108" i="37" s="1"/>
  <c r="D93" i="37"/>
  <c r="D94" i="37"/>
  <c r="H94" i="37"/>
  <c r="H95" i="37"/>
  <c r="D96" i="37"/>
  <c r="D97" i="37"/>
  <c r="D98" i="37"/>
  <c r="H98" i="37"/>
  <c r="H99" i="37"/>
  <c r="I47" i="37"/>
  <c r="K47" i="37" s="1"/>
  <c r="M47" i="37" s="1"/>
  <c r="I51" i="37"/>
  <c r="K51" i="37" s="1"/>
  <c r="M51" i="37" s="1"/>
  <c r="G12" i="37"/>
  <c r="I24" i="37"/>
  <c r="M24" i="37" s="1"/>
  <c r="G25" i="37"/>
  <c r="G105" i="37" s="1"/>
  <c r="G29" i="37"/>
  <c r="G109" i="37" s="1"/>
  <c r="I42" i="37"/>
  <c r="K42" i="37" s="1"/>
  <c r="M42" i="37" s="1"/>
  <c r="I65" i="37"/>
  <c r="K65" i="37" s="1"/>
  <c r="M65" i="37" s="1"/>
  <c r="F78" i="37"/>
  <c r="F75" i="37"/>
  <c r="A59" i="37"/>
  <c r="A72" i="37" s="1"/>
  <c r="I72" i="37" s="1"/>
  <c r="K72" i="37" s="1"/>
  <c r="M72" i="37" s="1"/>
  <c r="I44" i="37"/>
  <c r="K44" i="37" s="1"/>
  <c r="M44" i="37" s="1"/>
  <c r="I45" i="37"/>
  <c r="K45" i="37" s="1"/>
  <c r="M45" i="37" s="1"/>
  <c r="I46" i="37"/>
  <c r="K46" i="37" s="1"/>
  <c r="M46" i="37" s="1"/>
  <c r="I50" i="37"/>
  <c r="K50" i="37" s="1"/>
  <c r="M50" i="37" s="1"/>
  <c r="F64" i="37"/>
  <c r="F77" i="37" s="1"/>
  <c r="I77" i="37" s="1"/>
  <c r="K77" i="37" s="1"/>
  <c r="M77" i="37" s="1"/>
  <c r="F68" i="37"/>
  <c r="I43" i="37"/>
  <c r="K43" i="37" s="1"/>
  <c r="M43" i="37" s="1"/>
  <c r="G8" i="37"/>
  <c r="I49" i="37"/>
  <c r="K49" i="37" s="1"/>
  <c r="M49" i="37" s="1"/>
  <c r="I53" i="37"/>
  <c r="K53" i="37" s="1"/>
  <c r="M53" i="37" s="1"/>
  <c r="C61" i="37"/>
  <c r="C74" i="37" s="1"/>
  <c r="I74" i="37" s="1"/>
  <c r="K74" i="37" s="1"/>
  <c r="M74" i="37" s="1"/>
  <c r="I48" i="37"/>
  <c r="K48" i="37" s="1"/>
  <c r="M48" i="37" s="1"/>
  <c r="I52" i="37"/>
  <c r="K52" i="37" s="1"/>
  <c r="M52" i="37" s="1"/>
  <c r="D62" i="37"/>
  <c r="D75" i="37" s="1"/>
  <c r="D66" i="37"/>
  <c r="D79" i="37" s="1"/>
  <c r="D70" i="37"/>
  <c r="D83" i="37" s="1"/>
  <c r="I63" i="37"/>
  <c r="K63" i="37" s="1"/>
  <c r="M63" i="37" s="1"/>
  <c r="I67" i="37"/>
  <c r="K67" i="37" s="1"/>
  <c r="M67" i="37" s="1"/>
  <c r="I58" i="37"/>
  <c r="K58" i="37" s="1"/>
  <c r="M58" i="37" s="1"/>
  <c r="I59" i="37"/>
  <c r="K59" i="37" s="1"/>
  <c r="M59" i="37" s="1"/>
  <c r="I60" i="37"/>
  <c r="K60" i="37" s="1"/>
  <c r="M60" i="37" s="1"/>
  <c r="I73" i="37"/>
  <c r="K73" i="37" s="1"/>
  <c r="M73" i="37" s="1"/>
  <c r="I69" i="37"/>
  <c r="K69" i="37" s="1"/>
  <c r="M69" i="37" s="1"/>
  <c r="I70" i="37"/>
  <c r="K70" i="37" s="1"/>
  <c r="M70" i="37" s="1"/>
  <c r="I71" i="37"/>
  <c r="K71" i="37" s="1"/>
  <c r="M71" i="37" s="1"/>
  <c r="G47" i="37"/>
  <c r="H47" i="33"/>
  <c r="H46" i="33"/>
  <c r="M30" i="33"/>
  <c r="M29" i="33"/>
  <c r="M28" i="33"/>
  <c r="M27" i="33"/>
  <c r="M26" i="33"/>
  <c r="M25" i="33"/>
  <c r="M24" i="33"/>
  <c r="M23" i="33"/>
  <c r="G11" i="33"/>
  <c r="G12" i="33" s="1"/>
  <c r="F11" i="33"/>
  <c r="F12" i="33" s="1"/>
  <c r="E11" i="33"/>
  <c r="E25" i="33" s="1"/>
  <c r="E26" i="33" s="1"/>
  <c r="D11" i="33"/>
  <c r="D12" i="33" s="1"/>
  <c r="C11" i="33"/>
  <c r="C12" i="33" s="1"/>
  <c r="B11" i="33"/>
  <c r="B12" i="33" s="1"/>
  <c r="A11" i="33"/>
  <c r="A12" i="33" s="1"/>
  <c r="G9" i="33"/>
  <c r="G23" i="33" s="1"/>
  <c r="G24" i="33" s="1"/>
  <c r="F9" i="33"/>
  <c r="F23" i="33" s="1"/>
  <c r="F24" i="33" s="1"/>
  <c r="E9" i="33"/>
  <c r="E23" i="33" s="1"/>
  <c r="E24" i="33" s="1"/>
  <c r="D9" i="33"/>
  <c r="D23" i="33" s="1"/>
  <c r="D24" i="33" s="1"/>
  <c r="C9" i="33"/>
  <c r="C23" i="33" s="1"/>
  <c r="C24" i="33" s="1"/>
  <c r="J18" i="7"/>
  <c r="F25" i="21"/>
  <c r="I25" i="21"/>
  <c r="F26" i="21"/>
  <c r="I26" i="21"/>
  <c r="F27" i="21"/>
  <c r="I27" i="21"/>
  <c r="F28" i="21"/>
  <c r="I28" i="21"/>
  <c r="F29" i="21"/>
  <c r="I29" i="21"/>
  <c r="F30" i="21"/>
  <c r="I30" i="21"/>
  <c r="F31" i="21"/>
  <c r="I31" i="21"/>
  <c r="F32" i="21"/>
  <c r="I32" i="21"/>
  <c r="D28" i="21"/>
  <c r="J28" i="21" s="1"/>
  <c r="D32" i="21"/>
  <c r="J32" i="21" s="1"/>
  <c r="D31" i="21"/>
  <c r="D30" i="21"/>
  <c r="J30" i="21" s="1"/>
  <c r="D29" i="21"/>
  <c r="J29" i="21" s="1"/>
  <c r="D27" i="21"/>
  <c r="D26" i="21"/>
  <c r="D25" i="21"/>
  <c r="J25" i="21" s="1"/>
  <c r="I24" i="21"/>
  <c r="F24" i="21"/>
  <c r="D24" i="21"/>
  <c r="I23" i="21"/>
  <c r="F23" i="21"/>
  <c r="D23" i="21"/>
  <c r="I22" i="21"/>
  <c r="F22" i="21"/>
  <c r="D22" i="21"/>
  <c r="I21" i="21"/>
  <c r="F21" i="21"/>
  <c r="D21" i="21"/>
  <c r="I20" i="21"/>
  <c r="F20" i="21"/>
  <c r="D20" i="21"/>
  <c r="G20" i="21" l="1"/>
  <c r="G23" i="21"/>
  <c r="J20" i="21"/>
  <c r="G35" i="33"/>
  <c r="G46" i="33" s="1"/>
  <c r="F35" i="33"/>
  <c r="F46" i="33" s="1"/>
  <c r="E35" i="33"/>
  <c r="E46" i="33" s="1"/>
  <c r="D35" i="33"/>
  <c r="D46" i="33" s="1"/>
  <c r="G22" i="21"/>
  <c r="C35" i="33"/>
  <c r="C46" i="33" s="1"/>
  <c r="I105" i="37"/>
  <c r="K105" i="37" s="1"/>
  <c r="M105" i="37" s="1"/>
  <c r="I104" i="37"/>
  <c r="K104" i="37" s="1"/>
  <c r="M104" i="37" s="1"/>
  <c r="I107" i="37"/>
  <c r="K107" i="37" s="1"/>
  <c r="M107" i="37" s="1"/>
  <c r="I109" i="37"/>
  <c r="K109" i="37" s="1"/>
  <c r="M109" i="37" s="1"/>
  <c r="K95" i="37"/>
  <c r="M95" i="37" s="1"/>
  <c r="I115" i="37"/>
  <c r="K115" i="37" s="1"/>
  <c r="M115" i="37" s="1"/>
  <c r="I111" i="37"/>
  <c r="K111" i="37" s="1"/>
  <c r="M111" i="37" s="1"/>
  <c r="K98" i="37"/>
  <c r="M98" i="37" s="1"/>
  <c r="I114" i="37"/>
  <c r="K114" i="37" s="1"/>
  <c r="M114" i="37" s="1"/>
  <c r="K94" i="37"/>
  <c r="M94" i="37" s="1"/>
  <c r="I110" i="37"/>
  <c r="K110" i="37" s="1"/>
  <c r="M110" i="37" s="1"/>
  <c r="H90" i="37"/>
  <c r="I113" i="37"/>
  <c r="K113" i="37" s="1"/>
  <c r="M113" i="37" s="1"/>
  <c r="I112" i="37"/>
  <c r="K112" i="37" s="1"/>
  <c r="M112" i="37" s="1"/>
  <c r="K96" i="37"/>
  <c r="M96" i="37" s="1"/>
  <c r="I89" i="37"/>
  <c r="K89" i="37" s="1"/>
  <c r="M89" i="37" s="1"/>
  <c r="M100" i="37" s="1"/>
  <c r="K92" i="37"/>
  <c r="M92" i="37" s="1"/>
  <c r="I91" i="37"/>
  <c r="K91" i="37" s="1"/>
  <c r="M91" i="37" s="1"/>
  <c r="K97" i="37"/>
  <c r="M97" i="37" s="1"/>
  <c r="G64" i="37"/>
  <c r="G77" i="37" s="1"/>
  <c r="G93" i="37"/>
  <c r="I64" i="37"/>
  <c r="K64" i="37" s="1"/>
  <c r="M64" i="37" s="1"/>
  <c r="K93" i="37"/>
  <c r="M93" i="37" s="1"/>
  <c r="K99" i="37"/>
  <c r="M99" i="37" s="1"/>
  <c r="I61" i="37"/>
  <c r="K61" i="37" s="1"/>
  <c r="M61" i="37" s="1"/>
  <c r="G9" i="37"/>
  <c r="G26" i="37"/>
  <c r="G106" i="37" s="1"/>
  <c r="G13" i="37"/>
  <c r="G30" i="37"/>
  <c r="G110" i="37" s="1"/>
  <c r="I75" i="37"/>
  <c r="K75" i="37" s="1"/>
  <c r="M75" i="37" s="1"/>
  <c r="G43" i="37"/>
  <c r="I66" i="37"/>
  <c r="K66" i="37" s="1"/>
  <c r="M66" i="37" s="1"/>
  <c r="I68" i="37"/>
  <c r="K68" i="37" s="1"/>
  <c r="M68" i="37" s="1"/>
  <c r="F81" i="37"/>
  <c r="I62" i="37"/>
  <c r="K62" i="37" s="1"/>
  <c r="M62" i="37" s="1"/>
  <c r="C41" i="33"/>
  <c r="D41" i="33"/>
  <c r="E41" i="33"/>
  <c r="F41" i="33"/>
  <c r="F25" i="33"/>
  <c r="F26" i="33" s="1"/>
  <c r="E12" i="33"/>
  <c r="B25" i="33"/>
  <c r="B26" i="33" s="1"/>
  <c r="C25" i="33"/>
  <c r="C26" i="33" s="1"/>
  <c r="D25" i="33"/>
  <c r="D26" i="33" s="1"/>
  <c r="G25" i="33"/>
  <c r="G26" i="33" s="1"/>
  <c r="A25" i="33"/>
  <c r="A26" i="33" s="1"/>
  <c r="I12" i="33"/>
  <c r="M12" i="33" s="1"/>
  <c r="I11" i="33"/>
  <c r="M11" i="33" s="1"/>
  <c r="J26" i="21"/>
  <c r="J27" i="21"/>
  <c r="G26" i="21"/>
  <c r="J23" i="21"/>
  <c r="G27" i="21"/>
  <c r="J21" i="21"/>
  <c r="G21" i="21"/>
  <c r="J22" i="21"/>
  <c r="G25" i="21"/>
  <c r="G32" i="21"/>
  <c r="J31" i="21"/>
  <c r="G31" i="21"/>
  <c r="G30" i="21"/>
  <c r="G28" i="21"/>
  <c r="G29" i="21"/>
  <c r="J24" i="21"/>
  <c r="G24" i="21"/>
  <c r="M117" i="37" l="1"/>
  <c r="J33" i="21"/>
  <c r="G41" i="33"/>
  <c r="G33" i="21"/>
  <c r="G60" i="37"/>
  <c r="G73" i="37" s="1"/>
  <c r="G88" i="37"/>
  <c r="G31" i="37"/>
  <c r="G111" i="37" s="1"/>
  <c r="G14" i="37"/>
  <c r="G48" i="37"/>
  <c r="G44" i="37"/>
  <c r="G27" i="37"/>
  <c r="G107" i="37" s="1"/>
  <c r="X15" i="31"/>
  <c r="X8" i="31"/>
  <c r="C26" i="31"/>
  <c r="A22" i="31"/>
  <c r="C22" i="31"/>
  <c r="G61" i="37" l="1"/>
  <c r="G74" i="37" s="1"/>
  <c r="G89" i="37"/>
  <c r="G65" i="37"/>
  <c r="G78" i="37" s="1"/>
  <c r="G94" i="37"/>
  <c r="G32" i="37"/>
  <c r="G112" i="37" s="1"/>
  <c r="G15" i="37"/>
  <c r="G49" i="37"/>
  <c r="X17" i="31"/>
  <c r="X16" i="31"/>
  <c r="X14" i="31"/>
  <c r="X13" i="31"/>
  <c r="V13" i="31" s="1"/>
  <c r="X12" i="31"/>
  <c r="V12" i="31" s="1"/>
  <c r="X11" i="31"/>
  <c r="V11" i="31" s="1"/>
  <c r="X6" i="31"/>
  <c r="AA17" i="31"/>
  <c r="O11" i="31"/>
  <c r="O12" i="31"/>
  <c r="O13" i="31"/>
  <c r="O14" i="31"/>
  <c r="O15" i="31"/>
  <c r="V15" i="31" s="1"/>
  <c r="O16" i="31"/>
  <c r="O17" i="31"/>
  <c r="W17" i="31"/>
  <c r="J17" i="31"/>
  <c r="A17" i="31"/>
  <c r="A30" i="31" s="1"/>
  <c r="AA16" i="31"/>
  <c r="W16" i="31"/>
  <c r="J16" i="31"/>
  <c r="C16" i="31"/>
  <c r="C29" i="31" s="1"/>
  <c r="B16" i="31"/>
  <c r="B29" i="31" s="1"/>
  <c r="A16" i="31"/>
  <c r="A29" i="31" s="1"/>
  <c r="AA15" i="31"/>
  <c r="W15" i="31"/>
  <c r="J15" i="31"/>
  <c r="C15" i="31"/>
  <c r="C28" i="31" s="1"/>
  <c r="B15" i="31"/>
  <c r="B28" i="31" s="1"/>
  <c r="A15" i="31"/>
  <c r="A28" i="31" s="1"/>
  <c r="AA14" i="31"/>
  <c r="AA28" i="31" s="1"/>
  <c r="W14" i="31"/>
  <c r="J14" i="31"/>
  <c r="C14" i="31"/>
  <c r="C27" i="31" s="1"/>
  <c r="B14" i="31"/>
  <c r="B27" i="31" s="1"/>
  <c r="A14" i="31"/>
  <c r="A27" i="31" s="1"/>
  <c r="AA13" i="31"/>
  <c r="AA27" i="31" s="1"/>
  <c r="W13" i="31"/>
  <c r="J13" i="31"/>
  <c r="B13" i="31"/>
  <c r="B26" i="31" s="1"/>
  <c r="A13" i="31"/>
  <c r="A26" i="31" s="1"/>
  <c r="C12" i="31"/>
  <c r="C25" i="31" s="1"/>
  <c r="B12" i="31"/>
  <c r="B25" i="31" s="1"/>
  <c r="A12" i="31"/>
  <c r="A25" i="31" s="1"/>
  <c r="C11" i="31"/>
  <c r="C24" i="31" s="1"/>
  <c r="B11" i="31"/>
  <c r="B24" i="31" s="1"/>
  <c r="A11" i="31"/>
  <c r="A24" i="31" s="1"/>
  <c r="C9" i="31"/>
  <c r="C23" i="31" s="1"/>
  <c r="A7" i="31"/>
  <c r="A21" i="31" s="1"/>
  <c r="B3" i="14"/>
  <c r="B3" i="34"/>
  <c r="B3" i="36"/>
  <c r="B3" i="28"/>
  <c r="D6" i="8"/>
  <c r="D3" i="33"/>
  <c r="D3" i="37"/>
  <c r="M35" i="37" s="1"/>
  <c r="B4" i="4"/>
  <c r="B3" i="3"/>
  <c r="B3" i="35"/>
  <c r="B3" i="21"/>
  <c r="G3" i="31"/>
  <c r="V14" i="31" l="1"/>
  <c r="G90" i="37"/>
  <c r="G66" i="37"/>
  <c r="G79" i="37" s="1"/>
  <c r="G95" i="37"/>
  <c r="G33" i="37"/>
  <c r="G113" i="37" s="1"/>
  <c r="G50" i="37"/>
  <c r="G16" i="37"/>
  <c r="R17" i="31"/>
  <c r="U17" i="31" s="1"/>
  <c r="AB17" i="31" s="1"/>
  <c r="V17" i="31"/>
  <c r="R16" i="31"/>
  <c r="U16" i="31" s="1"/>
  <c r="AB16" i="31" s="1"/>
  <c r="V16" i="31"/>
  <c r="Z13" i="31"/>
  <c r="Z27" i="31" s="1"/>
  <c r="Z17" i="31"/>
  <c r="Z16" i="31"/>
  <c r="Z15" i="31"/>
  <c r="R13" i="31"/>
  <c r="U13" i="31" s="1"/>
  <c r="AB13" i="31" s="1"/>
  <c r="Z14" i="31"/>
  <c r="Z28" i="31" s="1"/>
  <c r="Q17" i="31"/>
  <c r="G15" i="31"/>
  <c r="G14" i="31"/>
  <c r="Q14" i="31" s="1"/>
  <c r="Q16" i="31"/>
  <c r="Q13" i="31"/>
  <c r="D3" i="36"/>
  <c r="D2" i="36"/>
  <c r="B2" i="36"/>
  <c r="E2" i="28"/>
  <c r="C3" i="28"/>
  <c r="C2" i="28"/>
  <c r="B2" i="28"/>
  <c r="G67" i="37" l="1"/>
  <c r="G80" i="37" s="1"/>
  <c r="G96" i="37"/>
  <c r="G34" i="37"/>
  <c r="G114" i="37" s="1"/>
  <c r="G17" i="37"/>
  <c r="G51" i="37"/>
  <c r="AD13" i="31"/>
  <c r="AE13" i="31" s="1"/>
  <c r="AD15" i="31"/>
  <c r="AE15" i="31" s="1"/>
  <c r="AD17" i="31"/>
  <c r="AE17" i="31" s="1"/>
  <c r="R15" i="31"/>
  <c r="R14" i="31"/>
  <c r="U14" i="31" s="1"/>
  <c r="AB14" i="31" s="1"/>
  <c r="AD16" i="31"/>
  <c r="AE16" i="31" s="1"/>
  <c r="Q15" i="31"/>
  <c r="U15" i="31"/>
  <c r="AB15" i="31" s="1"/>
  <c r="AD14" i="31"/>
  <c r="AE14" i="31" s="1"/>
  <c r="D21" i="33"/>
  <c r="D22" i="33" s="1"/>
  <c r="M21" i="33"/>
  <c r="M22" i="33"/>
  <c r="G68" i="37" l="1"/>
  <c r="G81" i="37" s="1"/>
  <c r="G97" i="37"/>
  <c r="G35" i="37"/>
  <c r="G115" i="37" s="1"/>
  <c r="G18" i="37"/>
  <c r="G52" i="37"/>
  <c r="M31" i="33"/>
  <c r="D44" i="4" s="1"/>
  <c r="G69" i="37" l="1"/>
  <c r="G82" i="37" s="1"/>
  <c r="G98" i="37"/>
  <c r="G53" i="37"/>
  <c r="G36" i="37"/>
  <c r="G116" i="37" s="1"/>
  <c r="G12" i="35"/>
  <c r="E12" i="35"/>
  <c r="C12" i="35"/>
  <c r="B11" i="3"/>
  <c r="A11" i="3"/>
  <c r="B12" i="3"/>
  <c r="A12" i="3"/>
  <c r="G70" i="37" l="1"/>
  <c r="G83" i="37" s="1"/>
  <c r="G99" i="37"/>
  <c r="I11" i="37"/>
  <c r="I10" i="37"/>
  <c r="I8" i="37"/>
  <c r="I6" i="37"/>
  <c r="H58" i="37" l="1"/>
  <c r="H71" i="37" s="1"/>
  <c r="K8" i="37"/>
  <c r="M8" i="37" s="1"/>
  <c r="J16" i="7" l="1"/>
  <c r="J24" i="7" s="1"/>
  <c r="J32" i="7" s="1"/>
  <c r="H16" i="7"/>
  <c r="H24" i="7" s="1"/>
  <c r="H32" i="7" s="1"/>
  <c r="G16" i="7"/>
  <c r="G24" i="7" s="1"/>
  <c r="G32" i="7" s="1"/>
  <c r="F16" i="7"/>
  <c r="F24" i="7" s="1"/>
  <c r="F32" i="7" s="1"/>
  <c r="E16" i="7"/>
  <c r="E24" i="7" s="1"/>
  <c r="E32" i="7" s="1"/>
  <c r="D16" i="7"/>
  <c r="D24" i="7" s="1"/>
  <c r="D32" i="7" s="1"/>
  <c r="C16" i="7"/>
  <c r="C24" i="7" s="1"/>
  <c r="C32" i="7" s="1"/>
  <c r="B8" i="7"/>
  <c r="A16" i="7"/>
  <c r="A24" i="7" s="1"/>
  <c r="A32" i="7" s="1"/>
  <c r="G17" i="7"/>
  <c r="G25" i="7" s="1"/>
  <c r="G33" i="7" s="1"/>
  <c r="H17" i="7"/>
  <c r="H25" i="7" s="1"/>
  <c r="H33" i="7" s="1"/>
  <c r="H46" i="7" s="1"/>
  <c r="G18" i="7"/>
  <c r="G26" i="7" s="1"/>
  <c r="G34" i="7" s="1"/>
  <c r="H18" i="7"/>
  <c r="H26" i="7" s="1"/>
  <c r="H34" i="7" s="1"/>
  <c r="A17" i="7"/>
  <c r="A25" i="7" s="1"/>
  <c r="A33" i="7" s="1"/>
  <c r="B17" i="7"/>
  <c r="B25" i="7" s="1"/>
  <c r="B33" i="7" s="1"/>
  <c r="C17" i="7"/>
  <c r="C25" i="7" s="1"/>
  <c r="C33" i="7" s="1"/>
  <c r="D17" i="7"/>
  <c r="D25" i="7" s="1"/>
  <c r="D33" i="7" s="1"/>
  <c r="D46" i="7" s="1"/>
  <c r="E17" i="7"/>
  <c r="E25" i="7" s="1"/>
  <c r="E33" i="7" s="1"/>
  <c r="F17" i="7"/>
  <c r="F25" i="7" s="1"/>
  <c r="F33" i="7" s="1"/>
  <c r="D18" i="7"/>
  <c r="D26" i="7" s="1"/>
  <c r="D34" i="7" s="1"/>
  <c r="E18" i="7"/>
  <c r="E26" i="7" s="1"/>
  <c r="E34" i="7" s="1"/>
  <c r="F18" i="7"/>
  <c r="F26" i="7" s="1"/>
  <c r="F34" i="7" s="1"/>
  <c r="B10" i="7"/>
  <c r="B18" i="7" s="1"/>
  <c r="B26" i="7" s="1"/>
  <c r="B34" i="7" s="1"/>
  <c r="A18" i="7"/>
  <c r="A26" i="7" s="1"/>
  <c r="A34" i="7" s="1"/>
  <c r="B16" i="7" l="1"/>
  <c r="B24" i="7" s="1"/>
  <c r="B32" i="7" s="1"/>
  <c r="B9" i="33"/>
  <c r="B23" i="33" s="1"/>
  <c r="D59" i="7"/>
  <c r="D13" i="33"/>
  <c r="G58" i="7"/>
  <c r="A47" i="7"/>
  <c r="A15" i="33" s="1"/>
  <c r="E47" i="7"/>
  <c r="A44" i="7"/>
  <c r="F44" i="7"/>
  <c r="F57" i="7" s="1"/>
  <c r="C46" i="7"/>
  <c r="G46" i="7"/>
  <c r="B44" i="7"/>
  <c r="B57" i="7" s="1"/>
  <c r="C58" i="7"/>
  <c r="G44" i="7"/>
  <c r="G57" i="7" s="1"/>
  <c r="E58" i="7"/>
  <c r="J58" i="7"/>
  <c r="B58" i="7"/>
  <c r="B47" i="7"/>
  <c r="B46" i="7"/>
  <c r="C44" i="7"/>
  <c r="C57" i="7" s="1"/>
  <c r="D44" i="7"/>
  <c r="D57" i="7" s="1"/>
  <c r="H44" i="7"/>
  <c r="H57" i="7" s="1"/>
  <c r="F58" i="7"/>
  <c r="H58" i="7"/>
  <c r="D47" i="7"/>
  <c r="D15" i="33" s="1"/>
  <c r="F46" i="7"/>
  <c r="H47" i="7"/>
  <c r="H60" i="7" s="1"/>
  <c r="F47" i="7"/>
  <c r="E46" i="7"/>
  <c r="A46" i="7"/>
  <c r="A13" i="33" s="1"/>
  <c r="G47" i="7"/>
  <c r="E44" i="7"/>
  <c r="E57" i="7" s="1"/>
  <c r="J44" i="7"/>
  <c r="J57" i="7" s="1"/>
  <c r="H59" i="7"/>
  <c r="I33" i="7"/>
  <c r="I10" i="7"/>
  <c r="K10" i="7" s="1"/>
  <c r="M10" i="7" s="1"/>
  <c r="C18" i="7"/>
  <c r="C26" i="7" s="1"/>
  <c r="C34" i="7" s="1"/>
  <c r="I24" i="7"/>
  <c r="K24" i="7" s="1"/>
  <c r="M24" i="7" s="1"/>
  <c r="I16" i="7"/>
  <c r="K16" i="7" s="1"/>
  <c r="M16" i="7" s="1"/>
  <c r="I32" i="7"/>
  <c r="K32" i="7" s="1"/>
  <c r="M32" i="7" s="1"/>
  <c r="I8" i="7"/>
  <c r="K8" i="7" s="1"/>
  <c r="M8" i="7" s="1"/>
  <c r="J33" i="31"/>
  <c r="A57" i="7" l="1"/>
  <c r="A9" i="33"/>
  <c r="A23" i="33" s="1"/>
  <c r="G60" i="7"/>
  <c r="G15" i="33"/>
  <c r="E60" i="7"/>
  <c r="E15" i="33"/>
  <c r="B59" i="7"/>
  <c r="B13" i="33"/>
  <c r="G59" i="7"/>
  <c r="G13" i="33"/>
  <c r="B60" i="7"/>
  <c r="B15" i="33"/>
  <c r="C59" i="7"/>
  <c r="C13" i="33"/>
  <c r="B24" i="33"/>
  <c r="B35" i="33"/>
  <c r="A14" i="33"/>
  <c r="A27" i="33"/>
  <c r="E59" i="7"/>
  <c r="E13" i="33"/>
  <c r="F60" i="7"/>
  <c r="F15" i="33"/>
  <c r="D29" i="33"/>
  <c r="D30" i="33" s="1"/>
  <c r="D16" i="33"/>
  <c r="I79" i="37"/>
  <c r="A60" i="7"/>
  <c r="F59" i="7"/>
  <c r="F13" i="33"/>
  <c r="I13" i="33" s="1"/>
  <c r="M13" i="33" s="1"/>
  <c r="A29" i="33"/>
  <c r="A30" i="33" s="1"/>
  <c r="A16" i="33"/>
  <c r="D14" i="33"/>
  <c r="D27" i="33"/>
  <c r="D36" i="33" s="1"/>
  <c r="D47" i="33" s="1"/>
  <c r="I57" i="7"/>
  <c r="K57" i="7" s="1"/>
  <c r="M57" i="7" s="1"/>
  <c r="C47" i="7"/>
  <c r="I45" i="7"/>
  <c r="K45" i="7" s="1"/>
  <c r="M45" i="7" s="1"/>
  <c r="I46" i="7"/>
  <c r="A59" i="7"/>
  <c r="A58" i="7"/>
  <c r="I44" i="7"/>
  <c r="K44" i="7" s="1"/>
  <c r="M44" i="7" s="1"/>
  <c r="I34" i="7"/>
  <c r="I26" i="7"/>
  <c r="D60" i="7"/>
  <c r="F29" i="33" l="1"/>
  <c r="F30" i="33" s="1"/>
  <c r="F16" i="33"/>
  <c r="E16" i="33"/>
  <c r="E29" i="33"/>
  <c r="E30" i="33" s="1"/>
  <c r="G29" i="33"/>
  <c r="G30" i="33" s="1"/>
  <c r="G16" i="33"/>
  <c r="C14" i="33"/>
  <c r="C27" i="33"/>
  <c r="B46" i="33"/>
  <c r="B41" i="33"/>
  <c r="B27" i="33"/>
  <c r="B14" i="33"/>
  <c r="B29" i="33"/>
  <c r="B30" i="33" s="1"/>
  <c r="B16" i="33"/>
  <c r="G14" i="33"/>
  <c r="G27" i="33"/>
  <c r="A24" i="33"/>
  <c r="A35" i="33"/>
  <c r="I16" i="33"/>
  <c r="M16" i="33" s="1"/>
  <c r="E14" i="33"/>
  <c r="E27" i="33"/>
  <c r="A36" i="33"/>
  <c r="A47" i="33" s="1"/>
  <c r="A28" i="33"/>
  <c r="I15" i="33"/>
  <c r="M15" i="33" s="1"/>
  <c r="I59" i="7"/>
  <c r="F27" i="33"/>
  <c r="F36" i="33" s="1"/>
  <c r="F47" i="33" s="1"/>
  <c r="F14" i="33"/>
  <c r="I14" i="33" s="1"/>
  <c r="M14" i="33" s="1"/>
  <c r="C60" i="7"/>
  <c r="C15" i="33"/>
  <c r="D28" i="33"/>
  <c r="I60" i="7"/>
  <c r="I47" i="7"/>
  <c r="D58" i="7"/>
  <c r="I58" i="7" s="1"/>
  <c r="K58" i="7" s="1"/>
  <c r="M58" i="7" s="1"/>
  <c r="M47" i="33"/>
  <c r="M37" i="33"/>
  <c r="F10" i="33"/>
  <c r="D10" i="33"/>
  <c r="K11" i="37"/>
  <c r="M11" i="37" s="1"/>
  <c r="G36" i="33" l="1"/>
  <c r="G47" i="33" s="1"/>
  <c r="G28" i="33"/>
  <c r="C36" i="33"/>
  <c r="C47" i="33" s="1"/>
  <c r="C28" i="33"/>
  <c r="B28" i="33"/>
  <c r="B36" i="33"/>
  <c r="B47" i="33" s="1"/>
  <c r="A46" i="33"/>
  <c r="A41" i="33"/>
  <c r="E36" i="33"/>
  <c r="E47" i="33" s="1"/>
  <c r="E28" i="33"/>
  <c r="C16" i="33"/>
  <c r="C29" i="33"/>
  <c r="C30" i="33" s="1"/>
  <c r="F28" i="33"/>
  <c r="E10" i="33"/>
  <c r="C10" i="33"/>
  <c r="A10" i="33"/>
  <c r="B10" i="33"/>
  <c r="G10" i="33"/>
  <c r="I10" i="33"/>
  <c r="M10" i="33" s="1"/>
  <c r="I9" i="33"/>
  <c r="M9" i="33" s="1"/>
  <c r="I81" i="37" l="1"/>
  <c r="K81" i="37" s="1"/>
  <c r="M81" i="37" s="1"/>
  <c r="K10" i="37" l="1"/>
  <c r="M10" i="37" s="1"/>
  <c r="D2" i="37"/>
  <c r="I33" i="37" s="1"/>
  <c r="M33" i="37" s="1"/>
  <c r="M37" i="37" s="1"/>
  <c r="M2" i="37"/>
  <c r="K2" i="37"/>
  <c r="I2" i="37"/>
  <c r="K6" i="37"/>
  <c r="M6" i="37" s="1"/>
  <c r="M19" i="37" l="1"/>
  <c r="M20" i="37" s="1"/>
  <c r="D36" i="4" s="1"/>
  <c r="I83" i="37"/>
  <c r="K83" i="37" s="1"/>
  <c r="M83" i="37" s="1"/>
  <c r="I41" i="37"/>
  <c r="K41" i="37" s="1"/>
  <c r="M41" i="37" s="1"/>
  <c r="K79" i="37"/>
  <c r="M79" i="37" s="1"/>
  <c r="I80" i="37" l="1"/>
  <c r="K80" i="37" s="1"/>
  <c r="M80" i="37" s="1"/>
  <c r="I78" i="37"/>
  <c r="K78" i="37" s="1"/>
  <c r="M78" i="37" s="1"/>
  <c r="M54" i="37"/>
  <c r="D38" i="4" s="1"/>
  <c r="D37" i="4"/>
  <c r="D40" i="4" l="1"/>
  <c r="I82" i="37"/>
  <c r="K82" i="37" s="1"/>
  <c r="M82" i="37" s="1"/>
  <c r="M84" i="37" l="1"/>
  <c r="D39" i="4" s="1"/>
  <c r="D41" i="4"/>
  <c r="M46" i="33"/>
  <c r="J35" i="4" l="1"/>
  <c r="F11" i="3" s="1"/>
  <c r="M48" i="33"/>
  <c r="D49" i="4" s="1"/>
  <c r="D50" i="4" l="1"/>
  <c r="D13" i="4"/>
  <c r="J17" i="7" l="1"/>
  <c r="J15" i="7"/>
  <c r="J23" i="7" s="1"/>
  <c r="J31" i="7" s="1"/>
  <c r="I9" i="7"/>
  <c r="K9" i="7" s="1"/>
  <c r="M9" i="7" s="1"/>
  <c r="D8" i="21"/>
  <c r="D9" i="21"/>
  <c r="D10" i="21"/>
  <c r="D11" i="21"/>
  <c r="D12" i="21"/>
  <c r="D13" i="21"/>
  <c r="D14" i="21"/>
  <c r="D15" i="21"/>
  <c r="J25" i="7" l="1"/>
  <c r="J33" i="7" s="1"/>
  <c r="J46" i="7" s="1"/>
  <c r="J26" i="7"/>
  <c r="I18" i="7"/>
  <c r="K18" i="7" s="1"/>
  <c r="M18" i="7" s="1"/>
  <c r="I17" i="7"/>
  <c r="K17" i="7" s="1"/>
  <c r="M17" i="7" s="1"/>
  <c r="I25" i="7"/>
  <c r="K25" i="7" s="1"/>
  <c r="M25" i="7" s="1"/>
  <c r="G12" i="31"/>
  <c r="R12" i="31" s="1"/>
  <c r="AA12" i="31"/>
  <c r="AA26" i="31" s="1"/>
  <c r="W12" i="31"/>
  <c r="J12" i="31"/>
  <c r="AA11" i="31"/>
  <c r="AA25" i="31" s="1"/>
  <c r="W11" i="31"/>
  <c r="Z11" i="31"/>
  <c r="Z25" i="31" s="1"/>
  <c r="J11" i="31"/>
  <c r="C20" i="31"/>
  <c r="B20" i="31"/>
  <c r="A20" i="31"/>
  <c r="K33" i="7" l="1"/>
  <c r="M33" i="7" s="1"/>
  <c r="J59" i="7"/>
  <c r="K59" i="7" s="1"/>
  <c r="M59" i="7" s="1"/>
  <c r="K46" i="7"/>
  <c r="M46" i="7" s="1"/>
  <c r="J34" i="7"/>
  <c r="J47" i="7" s="1"/>
  <c r="K47" i="7" s="1"/>
  <c r="M47" i="7" s="1"/>
  <c r="K26" i="7"/>
  <c r="M26" i="7" s="1"/>
  <c r="U12" i="31"/>
  <c r="AB12" i="31" s="1"/>
  <c r="Z12" i="31"/>
  <c r="Q12" i="31"/>
  <c r="AD11" i="31"/>
  <c r="AE11" i="31" s="1"/>
  <c r="R11" i="31"/>
  <c r="U11" i="31" s="1"/>
  <c r="AB11" i="31" s="1"/>
  <c r="Q11" i="31"/>
  <c r="AD28" i="31"/>
  <c r="AE28" i="31" s="1"/>
  <c r="AD27" i="31"/>
  <c r="AE27" i="31" s="1"/>
  <c r="J60" i="7" l="1"/>
  <c r="K60" i="7" s="1"/>
  <c r="M60" i="7" s="1"/>
  <c r="K34" i="7"/>
  <c r="M34" i="7" s="1"/>
  <c r="AD12" i="31"/>
  <c r="AE12" i="31" s="1"/>
  <c r="Z26" i="31"/>
  <c r="X9" i="31"/>
  <c r="X10" i="31"/>
  <c r="V10" i="31" s="1"/>
  <c r="X7" i="31"/>
  <c r="W7" i="31"/>
  <c r="W8" i="31"/>
  <c r="W9" i="31"/>
  <c r="W10" i="31"/>
  <c r="W6" i="31"/>
  <c r="O8" i="31"/>
  <c r="V8" i="31" s="1"/>
  <c r="C7" i="31"/>
  <c r="C21" i="31" s="1"/>
  <c r="G6" i="31"/>
  <c r="AA10" i="31"/>
  <c r="AA24" i="31" s="1"/>
  <c r="O10" i="31"/>
  <c r="J10" i="31"/>
  <c r="B10" i="31"/>
  <c r="A10" i="31"/>
  <c r="AA9" i="31"/>
  <c r="AA23" i="31" s="1"/>
  <c r="O9" i="31"/>
  <c r="V9" i="31" s="1"/>
  <c r="J9" i="31"/>
  <c r="B9" i="31"/>
  <c r="B23" i="31" s="1"/>
  <c r="A9" i="31"/>
  <c r="AA8" i="31"/>
  <c r="AA22" i="31" s="1"/>
  <c r="J8" i="31"/>
  <c r="B8" i="31"/>
  <c r="B22" i="31" s="1"/>
  <c r="AA7" i="31"/>
  <c r="AA21" i="31" s="1"/>
  <c r="O7" i="31"/>
  <c r="V7" i="31" s="1"/>
  <c r="J7" i="31"/>
  <c r="B7" i="31"/>
  <c r="B21" i="31" s="1"/>
  <c r="AA6" i="31"/>
  <c r="AA20" i="31" s="1"/>
  <c r="J6" i="31"/>
  <c r="A23" i="31" l="1"/>
  <c r="G9" i="31"/>
  <c r="AD26" i="31"/>
  <c r="AE26" i="31" s="1"/>
  <c r="J34" i="31"/>
  <c r="H6" i="31"/>
  <c r="G7" i="31"/>
  <c r="H7" i="31" s="1"/>
  <c r="H8" i="31" s="1"/>
  <c r="R10" i="31"/>
  <c r="U10" i="31" s="1"/>
  <c r="AB10" i="31" s="1"/>
  <c r="Z7" i="31"/>
  <c r="Z21" i="31" s="1"/>
  <c r="Z6" i="31"/>
  <c r="Z8" i="31"/>
  <c r="Z22" i="31" s="1"/>
  <c r="Z10" i="31"/>
  <c r="Z24" i="31" s="1"/>
  <c r="L6" i="31"/>
  <c r="N6" i="31" s="1"/>
  <c r="Q6" i="31"/>
  <c r="R6" i="31"/>
  <c r="U6" i="31" s="1"/>
  <c r="AB6" i="31" s="1"/>
  <c r="D33" i="34"/>
  <c r="D32" i="34"/>
  <c r="D31" i="34"/>
  <c r="D30" i="34"/>
  <c r="D29" i="34"/>
  <c r="D28" i="34"/>
  <c r="D27" i="34"/>
  <c r="D26" i="34"/>
  <c r="D25" i="34"/>
  <c r="D24" i="34"/>
  <c r="D23" i="34"/>
  <c r="D21" i="34"/>
  <c r="D20" i="34"/>
  <c r="D19" i="34"/>
  <c r="D18" i="34"/>
  <c r="D17" i="34"/>
  <c r="D16" i="34"/>
  <c r="D15" i="34"/>
  <c r="D14" i="34"/>
  <c r="D13" i="34"/>
  <c r="D12" i="34"/>
  <c r="D11" i="34"/>
  <c r="D9" i="34"/>
  <c r="D8" i="34"/>
  <c r="D7" i="34"/>
  <c r="D6" i="34"/>
  <c r="R7" i="31" l="1"/>
  <c r="AD21" i="31"/>
  <c r="AE21" i="31" s="1"/>
  <c r="Z20" i="31"/>
  <c r="AD22" i="31"/>
  <c r="AE22" i="31" s="1"/>
  <c r="AD24" i="31"/>
  <c r="AE24" i="31" s="1"/>
  <c r="J36" i="31"/>
  <c r="D16" i="4" s="1"/>
  <c r="H9" i="31"/>
  <c r="H10" i="31" s="1"/>
  <c r="H11" i="31" s="1"/>
  <c r="J37" i="31"/>
  <c r="D17" i="4" s="1"/>
  <c r="R9" i="31"/>
  <c r="U9" i="31" s="1"/>
  <c r="AB9" i="31" s="1"/>
  <c r="Q9" i="31"/>
  <c r="J35" i="31"/>
  <c r="D15" i="4" s="1"/>
  <c r="AD10" i="31"/>
  <c r="AE10" i="31" s="1"/>
  <c r="AD8" i="31"/>
  <c r="AE8" i="31" s="1"/>
  <c r="Q8" i="31"/>
  <c r="Q10" i="31"/>
  <c r="R8" i="31"/>
  <c r="U8" i="31" s="1"/>
  <c r="AB8" i="31" s="1"/>
  <c r="AD6" i="31"/>
  <c r="AE6" i="31" s="1"/>
  <c r="AD7" i="31"/>
  <c r="AE7" i="31" s="1"/>
  <c r="Q7" i="31"/>
  <c r="U7" i="31"/>
  <c r="AB7" i="31" s="1"/>
  <c r="Z9" i="31"/>
  <c r="Z23" i="31" s="1"/>
  <c r="S6" i="31"/>
  <c r="AD23" i="31" l="1"/>
  <c r="AE23" i="31" s="1"/>
  <c r="H12" i="31"/>
  <c r="L11" i="31"/>
  <c r="N11" i="31" s="1"/>
  <c r="S11" i="31" s="1"/>
  <c r="AD25" i="31"/>
  <c r="AE25" i="31" s="1"/>
  <c r="L7" i="31"/>
  <c r="N7" i="31" s="1"/>
  <c r="S7" i="31" s="1"/>
  <c r="AD9" i="31"/>
  <c r="AE9" i="31" s="1"/>
  <c r="H13" i="31" l="1"/>
  <c r="L12" i="31"/>
  <c r="N12" i="31" s="1"/>
  <c r="S12" i="31" s="1"/>
  <c r="L8" i="31"/>
  <c r="N8" i="31" s="1"/>
  <c r="S8" i="31" s="1"/>
  <c r="G25" i="28"/>
  <c r="L13" i="31" l="1"/>
  <c r="N13" i="31" s="1"/>
  <c r="S13" i="31" s="1"/>
  <c r="H14" i="31"/>
  <c r="L9" i="31"/>
  <c r="N9" i="31" s="1"/>
  <c r="S9" i="31" s="1"/>
  <c r="L10" i="31"/>
  <c r="N10" i="31" s="1"/>
  <c r="S10" i="31" s="1"/>
  <c r="G34" i="4"/>
  <c r="I34" i="4" s="1"/>
  <c r="G32" i="4"/>
  <c r="I32" i="4" s="1"/>
  <c r="G33" i="4"/>
  <c r="I33" i="4" s="1"/>
  <c r="G31" i="4"/>
  <c r="I31" i="4" s="1"/>
  <c r="L14" i="31" l="1"/>
  <c r="N14" i="31" s="1"/>
  <c r="S14" i="31" s="1"/>
  <c r="H15" i="31"/>
  <c r="G29" i="28"/>
  <c r="G28" i="28"/>
  <c r="G26" i="28"/>
  <c r="G24" i="28"/>
  <c r="G23" i="28"/>
  <c r="G22" i="28"/>
  <c r="G21" i="28"/>
  <c r="G20" i="28"/>
  <c r="G15" i="28"/>
  <c r="G14" i="28"/>
  <c r="G13" i="28"/>
  <c r="G12" i="28"/>
  <c r="G11" i="28"/>
  <c r="G10" i="28"/>
  <c r="G9" i="28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H16" i="31" l="1"/>
  <c r="L15" i="31"/>
  <c r="N15" i="31" s="1"/>
  <c r="S15" i="31" s="1"/>
  <c r="F22" i="8"/>
  <c r="L16" i="31" l="1"/>
  <c r="N16" i="31" s="1"/>
  <c r="S16" i="31" s="1"/>
  <c r="H17" i="31"/>
  <c r="L17" i="31" s="1"/>
  <c r="N17" i="31" s="1"/>
  <c r="S17" i="31" s="1"/>
  <c r="F2" i="36"/>
  <c r="F174" i="36" l="1"/>
  <c r="F157" i="36"/>
  <c r="F149" i="36"/>
  <c r="F148" i="36"/>
  <c r="F147" i="36"/>
  <c r="F143" i="36"/>
  <c r="F136" i="36"/>
  <c r="F129" i="36"/>
  <c r="F7" i="28" s="1"/>
  <c r="G7" i="28" s="1"/>
  <c r="F120" i="36"/>
  <c r="F109" i="36"/>
  <c r="F8" i="28" s="1"/>
  <c r="G8" i="28" s="1"/>
  <c r="F98" i="36"/>
  <c r="F87" i="36"/>
  <c r="F76" i="36"/>
  <c r="F65" i="36"/>
  <c r="F27" i="28" s="1"/>
  <c r="G27" i="28" s="1"/>
  <c r="G30" i="28" s="1"/>
  <c r="F55" i="36"/>
  <c r="F46" i="36"/>
  <c r="F39" i="36"/>
  <c r="F30" i="36"/>
  <c r="F21" i="36"/>
  <c r="F12" i="36"/>
  <c r="G16" i="28" l="1"/>
  <c r="F150" i="36"/>
  <c r="G7" i="33" l="1"/>
  <c r="G21" i="33" s="1"/>
  <c r="G22" i="33" s="1"/>
  <c r="F7" i="33"/>
  <c r="F21" i="33" s="1"/>
  <c r="F22" i="33" s="1"/>
  <c r="E7" i="33"/>
  <c r="E21" i="33" s="1"/>
  <c r="E22" i="33" s="1"/>
  <c r="C7" i="33"/>
  <c r="C21" i="33" s="1"/>
  <c r="C22" i="33" s="1"/>
  <c r="B7" i="33"/>
  <c r="B21" i="33" s="1"/>
  <c r="B22" i="33" s="1"/>
  <c r="H15" i="7"/>
  <c r="H23" i="7" s="1"/>
  <c r="H31" i="7" s="1"/>
  <c r="D7" i="21"/>
  <c r="I15" i="21"/>
  <c r="F15" i="21"/>
  <c r="I14" i="21"/>
  <c r="F14" i="21"/>
  <c r="I13" i="21"/>
  <c r="F13" i="21"/>
  <c r="I12" i="21"/>
  <c r="J12" i="21" s="1"/>
  <c r="F12" i="21"/>
  <c r="I10" i="21"/>
  <c r="J10" i="21" s="1"/>
  <c r="F10" i="21"/>
  <c r="I9" i="21"/>
  <c r="J9" i="21" s="1"/>
  <c r="F9" i="21"/>
  <c r="I8" i="21"/>
  <c r="F8" i="21"/>
  <c r="I7" i="21"/>
  <c r="F7" i="21"/>
  <c r="I11" i="21"/>
  <c r="J11" i="21" s="1"/>
  <c r="F11" i="21"/>
  <c r="J7" i="21" l="1"/>
  <c r="G13" i="21"/>
  <c r="J13" i="21"/>
  <c r="J14" i="21"/>
  <c r="J8" i="21"/>
  <c r="J15" i="21"/>
  <c r="G15" i="21"/>
  <c r="G11" i="21"/>
  <c r="G7" i="21"/>
  <c r="G9" i="21"/>
  <c r="G12" i="21"/>
  <c r="G14" i="21"/>
  <c r="G8" i="21"/>
  <c r="G10" i="21"/>
  <c r="G16" i="21" l="1"/>
  <c r="I35" i="21" s="1"/>
  <c r="J16" i="21"/>
  <c r="I36" i="21" s="1"/>
  <c r="I37" i="21" l="1"/>
  <c r="D11" i="4" s="1"/>
  <c r="E8" i="8"/>
  <c r="D8" i="8"/>
  <c r="E6" i="8"/>
  <c r="J3" i="4"/>
  <c r="H3" i="4"/>
  <c r="C3" i="4"/>
  <c r="B3" i="4"/>
  <c r="N2" i="35"/>
  <c r="R2" i="35"/>
  <c r="V2" i="35"/>
  <c r="B2" i="35"/>
  <c r="A18" i="35"/>
  <c r="A17" i="35"/>
  <c r="A16" i="35"/>
  <c r="A15" i="35"/>
  <c r="A14" i="35"/>
  <c r="A13" i="35"/>
  <c r="A12" i="35"/>
  <c r="G11" i="35" l="1"/>
  <c r="E11" i="35"/>
  <c r="C11" i="35"/>
  <c r="G10" i="35"/>
  <c r="E10" i="35"/>
  <c r="C10" i="35"/>
  <c r="G9" i="35"/>
  <c r="E9" i="35"/>
  <c r="C9" i="35"/>
  <c r="G8" i="35"/>
  <c r="E8" i="35"/>
  <c r="C8" i="35"/>
  <c r="H2" i="3"/>
  <c r="F2" i="3"/>
  <c r="D2" i="3"/>
  <c r="B2" i="3"/>
  <c r="D2" i="14"/>
  <c r="C3" i="14"/>
  <c r="C2" i="14"/>
  <c r="B2" i="14"/>
  <c r="E2" i="34"/>
  <c r="C3" i="34"/>
  <c r="C2" i="34"/>
  <c r="B2" i="34"/>
  <c r="L2" i="33"/>
  <c r="M2" i="33"/>
  <c r="I2" i="33"/>
  <c r="D2" i="33"/>
  <c r="S2" i="31"/>
  <c r="J2" i="21"/>
  <c r="H2" i="21"/>
  <c r="F2" i="21"/>
  <c r="B2" i="21"/>
  <c r="M3" i="7"/>
  <c r="O2" i="31"/>
  <c r="G2" i="31"/>
  <c r="M65" i="7"/>
  <c r="M3" i="37" l="1"/>
  <c r="G2" i="28"/>
  <c r="F3" i="36"/>
  <c r="H6" i="8"/>
  <c r="J4" i="4"/>
  <c r="J3" i="21"/>
  <c r="V3" i="35"/>
  <c r="H3" i="3"/>
  <c r="D3" i="14"/>
  <c r="E3" i="34"/>
  <c r="M3" i="33"/>
  <c r="AB2" i="31"/>
  <c r="E8" i="33" l="1"/>
  <c r="F8" i="33"/>
  <c r="G8" i="33"/>
  <c r="D8" i="33"/>
  <c r="I8" i="33" l="1"/>
  <c r="M8" i="33" s="1"/>
  <c r="G27" i="4" l="1"/>
  <c r="G26" i="4" l="1"/>
  <c r="G47" i="4"/>
  <c r="G45" i="4"/>
  <c r="G48" i="4"/>
  <c r="G46" i="4"/>
  <c r="M42" i="33" l="1"/>
  <c r="D47" i="4" s="1"/>
  <c r="D45" i="4"/>
  <c r="B8" i="33"/>
  <c r="D46" i="4" l="1"/>
  <c r="D48" i="4"/>
  <c r="C8" i="33"/>
  <c r="I7" i="33"/>
  <c r="M7" i="33" s="1"/>
  <c r="M17" i="33" s="1"/>
  <c r="D43" i="4" l="1"/>
  <c r="G15" i="7"/>
  <c r="F15" i="7"/>
  <c r="E15" i="7"/>
  <c r="D15" i="7"/>
  <c r="C15" i="7"/>
  <c r="B15" i="7"/>
  <c r="E19" i="13" l="1"/>
  <c r="E18" i="13"/>
  <c r="F30" i="8" l="1"/>
  <c r="H29" i="13"/>
  <c r="H28" i="13"/>
  <c r="H23" i="13"/>
  <c r="G19" i="13"/>
  <c r="G18" i="13"/>
  <c r="G9" i="13"/>
  <c r="G11" i="13" s="1"/>
  <c r="G102" i="13"/>
  <c r="H36" i="13"/>
  <c r="H31" i="13"/>
  <c r="H30" i="13"/>
  <c r="G10" i="13"/>
  <c r="H6" i="13"/>
  <c r="H44" i="4" l="1"/>
  <c r="I44" i="4" s="1"/>
  <c r="H50" i="4"/>
  <c r="I50" i="4" s="1"/>
  <c r="H17" i="4"/>
  <c r="I17" i="4" s="1"/>
  <c r="J17" i="4" s="1"/>
  <c r="H40" i="4"/>
  <c r="I40" i="4" s="1"/>
  <c r="H26" i="4"/>
  <c r="H16" i="4"/>
  <c r="I16" i="4" s="1"/>
  <c r="J16" i="4" s="1"/>
  <c r="H24" i="4"/>
  <c r="H37" i="4"/>
  <c r="I37" i="4" s="1"/>
  <c r="H36" i="4"/>
  <c r="I36" i="4" s="1"/>
  <c r="H29" i="4"/>
  <c r="I29" i="4" s="1"/>
  <c r="H21" i="4"/>
  <c r="H28" i="4"/>
  <c r="I28" i="4" s="1"/>
  <c r="H19" i="4"/>
  <c r="H41" i="4"/>
  <c r="I41" i="4" s="1"/>
  <c r="H27" i="4"/>
  <c r="I27" i="4" s="1"/>
  <c r="H49" i="4"/>
  <c r="I49" i="4" s="1"/>
  <c r="H39" i="4"/>
  <c r="I39" i="4" s="1"/>
  <c r="H25" i="4"/>
  <c r="H15" i="4"/>
  <c r="I15" i="4" s="1"/>
  <c r="J15" i="4" s="1"/>
  <c r="H38" i="4"/>
  <c r="I38" i="4" s="1"/>
  <c r="H14" i="4"/>
  <c r="I14" i="4" s="1"/>
  <c r="H23" i="4"/>
  <c r="H22" i="4"/>
  <c r="H45" i="4"/>
  <c r="I45" i="4" s="1"/>
  <c r="H18" i="4"/>
  <c r="H48" i="4"/>
  <c r="I48" i="4" s="1"/>
  <c r="H47" i="4"/>
  <c r="H46" i="4"/>
  <c r="I46" i="4" s="1"/>
  <c r="H43" i="4"/>
  <c r="I43" i="4" s="1"/>
  <c r="H13" i="4"/>
  <c r="I13" i="4" s="1"/>
  <c r="J13" i="4" s="1"/>
  <c r="I25" i="4"/>
  <c r="I23" i="4"/>
  <c r="H11" i="4"/>
  <c r="I11" i="4" s="1"/>
  <c r="I19" i="4"/>
  <c r="I18" i="4"/>
  <c r="I47" i="4"/>
  <c r="I21" i="4"/>
  <c r="H10" i="4"/>
  <c r="I10" i="4" s="1"/>
  <c r="I26" i="4"/>
  <c r="H32" i="13"/>
  <c r="H7" i="13"/>
  <c r="G12" i="13" s="1"/>
  <c r="H13" i="13" s="1"/>
  <c r="J42" i="4" l="1"/>
  <c r="F12" i="3" s="1"/>
  <c r="H12" i="3" s="1"/>
  <c r="J43" i="7"/>
  <c r="J56" i="7" s="1"/>
  <c r="H43" i="7"/>
  <c r="G23" i="7"/>
  <c r="G31" i="7" s="1"/>
  <c r="G43" i="7" s="1"/>
  <c r="F23" i="7"/>
  <c r="F31" i="7" s="1"/>
  <c r="F43" i="7" s="1"/>
  <c r="D23" i="7"/>
  <c r="G56" i="7" l="1"/>
  <c r="F56" i="7"/>
  <c r="D31" i="7"/>
  <c r="H56" i="7"/>
  <c r="A1" i="7"/>
  <c r="D43" i="7" l="1"/>
  <c r="AD20" i="31"/>
  <c r="J38" i="31" l="1"/>
  <c r="AE20" i="31"/>
  <c r="J39" i="31" s="1"/>
  <c r="D56" i="7"/>
  <c r="D14" i="4"/>
  <c r="J14" i="4" s="1"/>
  <c r="D18" i="4" l="1"/>
  <c r="J18" i="4" s="1"/>
  <c r="D19" i="4"/>
  <c r="J19" i="4" s="1"/>
  <c r="E23" i="7"/>
  <c r="E31" i="7" s="1"/>
  <c r="E43" i="7" s="1"/>
  <c r="A15" i="7"/>
  <c r="J12" i="4" l="1"/>
  <c r="E56" i="7"/>
  <c r="C23" i="7"/>
  <c r="A23" i="7"/>
  <c r="B23" i="7"/>
  <c r="F8" i="3" l="1"/>
  <c r="J51" i="4"/>
  <c r="J73" i="4" s="1"/>
  <c r="I23" i="7"/>
  <c r="K23" i="7" s="1"/>
  <c r="M23" i="7" s="1"/>
  <c r="A31" i="7"/>
  <c r="A43" i="7" s="1"/>
  <c r="A7" i="33" s="1"/>
  <c r="B31" i="7"/>
  <c r="C31" i="7"/>
  <c r="A8" i="33" l="1"/>
  <c r="A21" i="33"/>
  <c r="A22" i="33" s="1"/>
  <c r="I31" i="7"/>
  <c r="K31" i="7" s="1"/>
  <c r="M31" i="7" s="1"/>
  <c r="B43" i="7"/>
  <c r="A56" i="7"/>
  <c r="C43" i="7"/>
  <c r="C56" i="7" l="1"/>
  <c r="I56" i="7" s="1"/>
  <c r="K56" i="7" s="1"/>
  <c r="M56" i="7" s="1"/>
  <c r="M61" i="7" s="1"/>
  <c r="B56" i="7"/>
  <c r="I43" i="7"/>
  <c r="K43" i="7" s="1"/>
  <c r="M43" i="7" s="1"/>
  <c r="M48" i="7" s="1"/>
  <c r="E132" i="13"/>
  <c r="E57" i="13"/>
  <c r="E135" i="13"/>
  <c r="E130" i="13"/>
  <c r="E97" i="13"/>
  <c r="E136" i="13" l="1"/>
  <c r="E58" i="13"/>
  <c r="E17" i="13"/>
  <c r="G17" i="13" s="1"/>
  <c r="E131" i="13"/>
  <c r="E16" i="13"/>
  <c r="G16" i="13" s="1"/>
  <c r="I7" i="7"/>
  <c r="K7" i="7" s="1"/>
  <c r="M7" i="7" s="1"/>
  <c r="G20" i="13" l="1"/>
  <c r="H21" i="13" s="1"/>
  <c r="G25" i="13" s="1"/>
  <c r="H37" i="13" s="1"/>
  <c r="M11" i="7"/>
  <c r="H6" i="19"/>
  <c r="H141" i="13"/>
  <c r="G134" i="13"/>
  <c r="G133" i="13"/>
  <c r="G97" i="13"/>
  <c r="G98" i="13" s="1"/>
  <c r="G58" i="13"/>
  <c r="G57" i="13"/>
  <c r="H66" i="13"/>
  <c r="H72" i="13"/>
  <c r="H67" i="13"/>
  <c r="G51" i="13"/>
  <c r="G52" i="13" s="1"/>
  <c r="H48" i="13"/>
  <c r="H47" i="13"/>
  <c r="H46" i="13"/>
  <c r="D21" i="4" l="1"/>
  <c r="H68" i="13"/>
  <c r="G59" i="13"/>
  <c r="H60" i="13" s="1"/>
  <c r="H49" i="13"/>
  <c r="G53" i="13" s="1"/>
  <c r="H54" i="13" s="1"/>
  <c r="G63" i="13" l="1"/>
  <c r="H73" i="13" s="1"/>
  <c r="G24" i="4" l="1"/>
  <c r="I24" i="4" s="1"/>
  <c r="I22" i="4"/>
  <c r="G11" i="20" l="1"/>
  <c r="G12" i="20" s="1"/>
  <c r="G14" i="20" s="1"/>
  <c r="B10" i="3" l="1"/>
  <c r="A10" i="3"/>
  <c r="A10" i="35" s="1"/>
  <c r="A11" i="35"/>
  <c r="H184" i="13"/>
  <c r="G91" i="13" l="1"/>
  <c r="G92" i="13" s="1"/>
  <c r="H88" i="13"/>
  <c r="H87" i="13"/>
  <c r="H86" i="13"/>
  <c r="H106" i="13" l="1"/>
  <c r="H110" i="13"/>
  <c r="H89" i="13"/>
  <c r="G93" i="13" s="1"/>
  <c r="H94" i="13" s="1"/>
  <c r="H99" i="13" s="1"/>
  <c r="H111" i="13" s="1"/>
  <c r="H151" i="13" l="1"/>
  <c r="H150" i="13"/>
  <c r="H149" i="13"/>
  <c r="H148" i="13"/>
  <c r="C152" i="13" l="1"/>
  <c r="G132" i="13"/>
  <c r="H185" i="13"/>
  <c r="H142" i="13"/>
  <c r="H143" i="13"/>
  <c r="H144" i="13"/>
  <c r="G131" i="13"/>
  <c r="G135" i="13"/>
  <c r="G136" i="13"/>
  <c r="G130" i="13"/>
  <c r="H118" i="13"/>
  <c r="H119" i="13"/>
  <c r="H120" i="13"/>
  <c r="H121" i="13"/>
  <c r="H180" i="13"/>
  <c r="H181" i="13" s="1"/>
  <c r="G166" i="13"/>
  <c r="G167" i="13" s="1"/>
  <c r="H162" i="13"/>
  <c r="H161" i="13"/>
  <c r="H160" i="13"/>
  <c r="H153" i="13" l="1"/>
  <c r="H163" i="13"/>
  <c r="G168" i="13" s="1"/>
  <c r="H169" i="13" s="1"/>
  <c r="G137" i="13"/>
  <c r="G6" i="20" l="1"/>
  <c r="F6" i="20"/>
  <c r="G5" i="20"/>
  <c r="C10" i="19" s="1"/>
  <c r="F5" i="20"/>
  <c r="E44" i="19"/>
  <c r="I44" i="19" s="1"/>
  <c r="F40" i="19"/>
  <c r="H40" i="19" s="1"/>
  <c r="I40" i="19" s="1"/>
  <c r="C40" i="19"/>
  <c r="E14" i="19"/>
  <c r="I14" i="19" l="1"/>
  <c r="K40" i="19"/>
  <c r="F10" i="19"/>
  <c r="H10" i="19" s="1"/>
  <c r="I10" i="19" s="1"/>
  <c r="K10" i="19" s="1"/>
  <c r="D10" i="4" l="1"/>
  <c r="I15" i="7"/>
  <c r="K15" i="7" l="1"/>
  <c r="M27" i="7"/>
  <c r="M15" i="7" l="1"/>
  <c r="M19" i="7" s="1"/>
  <c r="D22" i="4" s="1"/>
  <c r="D23" i="4" s="1"/>
  <c r="J9" i="4"/>
  <c r="F7" i="3" s="1"/>
  <c r="M35" i="7" l="1"/>
  <c r="D24" i="4"/>
  <c r="D25" i="4" s="1"/>
  <c r="M36" i="7" l="1"/>
  <c r="M49" i="7"/>
  <c r="D26" i="4" l="1"/>
  <c r="M50" i="7"/>
  <c r="D33" i="4"/>
  <c r="D34" i="4" s="1"/>
  <c r="M37" i="7"/>
  <c r="D31" i="4"/>
  <c r="D28" i="4"/>
  <c r="D29" i="4" s="1"/>
  <c r="M62" i="7"/>
  <c r="M63" i="7" s="1"/>
  <c r="D32" i="4" l="1"/>
  <c r="M64" i="7"/>
  <c r="H140" i="13"/>
  <c r="H145" i="13" s="1"/>
  <c r="G124" i="13"/>
  <c r="G125" i="13" s="1"/>
  <c r="H117" i="13"/>
  <c r="H122" i="13" s="1"/>
  <c r="J30" i="4" l="1"/>
  <c r="F10" i="3" s="1"/>
  <c r="G126" i="13"/>
  <c r="H127" i="13" s="1"/>
  <c r="H138" i="13" s="1"/>
  <c r="H154" i="13" s="1"/>
  <c r="E176" i="13" s="1"/>
  <c r="G176" i="13" s="1"/>
  <c r="G177" i="13" s="1"/>
  <c r="H178" i="13" s="1"/>
  <c r="H186" i="13" l="1"/>
  <c r="H188" i="13" s="1"/>
  <c r="B7" i="3" l="1"/>
  <c r="A7" i="3"/>
  <c r="A7" i="35" s="1"/>
  <c r="B9" i="3"/>
  <c r="B8" i="3"/>
  <c r="A8" i="3" l="1"/>
  <c r="A8" i="35" s="1"/>
  <c r="A9" i="3"/>
  <c r="A9" i="35" s="1"/>
  <c r="H11" i="3" l="1"/>
  <c r="H8" i="3" l="1"/>
  <c r="H7" i="3" l="1"/>
  <c r="D27" i="4" l="1"/>
  <c r="J20" i="4" l="1"/>
  <c r="F9" i="3" l="1"/>
  <c r="F31" i="3" s="1"/>
  <c r="H9" i="3" l="1"/>
  <c r="H10" i="3"/>
  <c r="B26" i="35" l="1"/>
  <c r="B29" i="35" s="1"/>
  <c r="F26" i="35"/>
  <c r="F29" i="35" s="1"/>
  <c r="D26" i="35"/>
  <c r="D29" i="35" s="1"/>
  <c r="E31" i="3"/>
  <c r="H31" i="3"/>
  <c r="F24" i="35" s="1"/>
  <c r="B24" i="35" l="1"/>
  <c r="G24" i="35"/>
  <c r="E24" i="35"/>
  <c r="D24" i="35"/>
  <c r="C24" i="35"/>
  <c r="I12" i="3"/>
  <c r="I7" i="3"/>
  <c r="I11" i="3"/>
  <c r="I9" i="3"/>
  <c r="I10" i="3"/>
  <c r="I8" i="3"/>
  <c r="I3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Darcio</author>
  </authors>
  <commentList>
    <comment ref="I6" authorId="0" shapeId="0" xr:uid="{00000000-0006-0000-0600-000001000000}">
      <text>
        <r>
          <rPr>
            <b/>
            <sz val="16"/>
            <color indexed="81"/>
            <rFont val="Segoe UI"/>
            <family val="2"/>
          </rPr>
          <t>ALGUNS PROJTISTAS ADOTAM SEMPRE 10MIN, EM FAVOR DA SEGURANÇA</t>
        </r>
      </text>
    </comment>
    <comment ref="K6" authorId="0" shapeId="0" xr:uid="{00000000-0006-0000-0600-000002000000}">
      <text>
        <r>
          <rPr>
            <b/>
            <sz val="22"/>
            <color indexed="81"/>
            <rFont val="Segoe UI"/>
            <family val="2"/>
          </rPr>
          <t>media ponderada conforme áreas e seus respectivos coeficientes</t>
        </r>
      </text>
    </comment>
    <comment ref="N6" authorId="0" shapeId="0" xr:uid="{00000000-0006-0000-0600-000003000000}">
      <text>
        <r>
          <rPr>
            <b/>
            <sz val="16"/>
            <color indexed="81"/>
            <rFont val="Segoe UI"/>
            <family val="2"/>
          </rPr>
          <t>COMO A VAZÃO DE PROJETO É MENOR Q DA SARJETA ESSE SEGMENTO PODE SER TRANSPORTADO SOMENTE PELA SARJETA</t>
        </r>
      </text>
    </comment>
    <comment ref="S6" authorId="0" shapeId="0" xr:uid="{00000000-0006-0000-0600-000004000000}">
      <text>
        <r>
          <rPr>
            <b/>
            <sz val="9"/>
            <color indexed="81"/>
            <rFont val="Segoe UI"/>
            <family val="2"/>
          </rPr>
          <t>FORMULA APOSTILA</t>
        </r>
      </text>
    </comment>
    <comment ref="U6" authorId="0" shapeId="0" xr:uid="{00000000-0006-0000-0600-000005000000}">
      <text>
        <r>
          <rPr>
            <b/>
            <sz val="9"/>
            <color indexed="81"/>
            <rFont val="Segoe UI"/>
            <family val="2"/>
          </rPr>
          <t>FÓRMULA APOSTILA</t>
        </r>
      </text>
    </comment>
  </commentList>
</comments>
</file>

<file path=xl/sharedStrings.xml><?xml version="1.0" encoding="utf-8"?>
<sst xmlns="http://schemas.openxmlformats.org/spreadsheetml/2006/main" count="2143" uniqueCount="739">
  <si>
    <t>ORÇAMENTO</t>
  </si>
  <si>
    <t>Nº do Item</t>
  </si>
  <si>
    <t>Descrição</t>
  </si>
  <si>
    <t>Unidade</t>
  </si>
  <si>
    <t>Quantidade</t>
  </si>
  <si>
    <t>Valores</t>
  </si>
  <si>
    <t>Unitário sem BDI</t>
  </si>
  <si>
    <t>BDI</t>
  </si>
  <si>
    <t>Total</t>
  </si>
  <si>
    <t>Fonte</t>
  </si>
  <si>
    <t>Referência de Custo</t>
  </si>
  <si>
    <t>Unitário com BDI</t>
  </si>
  <si>
    <t>1.1</t>
  </si>
  <si>
    <t>un.</t>
  </si>
  <si>
    <t>m³</t>
  </si>
  <si>
    <t>m</t>
  </si>
  <si>
    <t>PREFEITURA MUNICIPAL DE MARACAJÁ</t>
  </si>
  <si>
    <t>m²</t>
  </si>
  <si>
    <t>3.1</t>
  </si>
  <si>
    <t>3.2</t>
  </si>
  <si>
    <t>3.4</t>
  </si>
  <si>
    <t>4.3</t>
  </si>
  <si>
    <t>TOTAL:</t>
  </si>
  <si>
    <t>QCI - QUADRO DE COMPOSIÇÃO DO INVESTIMENTO</t>
  </si>
  <si>
    <t>Outras Fontes</t>
  </si>
  <si>
    <t>INC. %</t>
  </si>
  <si>
    <t>Mês 01</t>
  </si>
  <si>
    <t>No mês</t>
  </si>
  <si>
    <t>Acum.</t>
  </si>
  <si>
    <t>Ítem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</si>
  <si>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</si>
  <si>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</si>
  <si>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</si>
  <si>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</si>
  <si>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</si>
  <si>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</si>
  <si>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</si>
  <si>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</si>
  <si>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</si>
  <si>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</si>
  <si>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</si>
  <si>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</si>
  <si>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Recurso</t>
  </si>
  <si>
    <t>C. Fin.</t>
  </si>
  <si>
    <t>C. Fis.</t>
  </si>
  <si>
    <t>Outros F.</t>
  </si>
  <si>
    <t>TOTAL (R$)</t>
  </si>
  <si>
    <t>-</t>
  </si>
  <si>
    <t>3.3</t>
  </si>
  <si>
    <t>3.5</t>
  </si>
  <si>
    <t>3.6</t>
  </si>
  <si>
    <t>4.1</t>
  </si>
  <si>
    <t>FOLHA  :  01 / 01</t>
  </si>
  <si>
    <t>tc</t>
  </si>
  <si>
    <t>Largura (m)</t>
  </si>
  <si>
    <t>Est. inicial</t>
  </si>
  <si>
    <t>Est. Final</t>
  </si>
  <si>
    <t>+</t>
  </si>
  <si>
    <t>Comprimento (m)</t>
  </si>
  <si>
    <t>LE/LD</t>
  </si>
  <si>
    <t xml:space="preserve">Agente Promotor </t>
  </si>
  <si>
    <t>Número do Contrato</t>
  </si>
  <si>
    <t>Empreendimento</t>
  </si>
  <si>
    <t>Localização</t>
  </si>
  <si>
    <t>TIPO DE OBRA</t>
  </si>
  <si>
    <t>COMPOSIÇÃO - BDI para Construção de Rodovias e Ferrovias</t>
  </si>
  <si>
    <t>ITEM</t>
  </si>
  <si>
    <t>DESCRIÇÃO ANALÍTICA</t>
  </si>
  <si>
    <t>SIGLAS</t>
  </si>
  <si>
    <t>PERCENTUAL</t>
  </si>
  <si>
    <t>SITUAÇÃO</t>
  </si>
  <si>
    <t>1° QUARTIL (MÍNIMO)</t>
  </si>
  <si>
    <t>3° QUARTIL (MÁXIMA)</t>
  </si>
  <si>
    <t>ADMINISTRAÇÃO CENTRAL</t>
  </si>
  <si>
    <t>AC</t>
  </si>
  <si>
    <t>OK</t>
  </si>
  <si>
    <t>SEGURO E GARANTIA</t>
  </si>
  <si>
    <t>S + G</t>
  </si>
  <si>
    <t>RISCO</t>
  </si>
  <si>
    <t xml:space="preserve">R </t>
  </si>
  <si>
    <t>DESPESAS FINANCEIRAS</t>
  </si>
  <si>
    <t>DF</t>
  </si>
  <si>
    <t>LUCRO</t>
  </si>
  <si>
    <t>L</t>
  </si>
  <si>
    <t>TAXA REPRESENTATIVA DE TRIBUTOS</t>
  </si>
  <si>
    <t>I= PIS+CONFINS+ISS+CPRB</t>
  </si>
  <si>
    <t>Foi incluída a CPRB com a alíquota de 4,50% sobre a Receita Bruta</t>
  </si>
  <si>
    <t>6.1</t>
  </si>
  <si>
    <t>PIS</t>
  </si>
  <si>
    <t>Alíquota iss:</t>
  </si>
  <si>
    <t>Base de cálculo:</t>
  </si>
  <si>
    <t>6.2</t>
  </si>
  <si>
    <t>CONFINS</t>
  </si>
  <si>
    <t>6.3</t>
  </si>
  <si>
    <t>CONTRIBUIÇÃO PREVIDENCIÁRIA SOBRE A RECEITA BRUTA</t>
  </si>
  <si>
    <t>CPRB</t>
  </si>
  <si>
    <t>Mão-de-obra desonerada</t>
  </si>
  <si>
    <t>6.4</t>
  </si>
  <si>
    <t>ISS</t>
  </si>
  <si>
    <t>LIMITE CONFORME ACÓRDÃO TCU 2.622/2013</t>
  </si>
  <si>
    <t>de 19,60% a 24,23%</t>
  </si>
  <si>
    <t>Fórmula - Acórdão TCU 2.622/2013</t>
  </si>
  <si>
    <t>BDI=</t>
  </si>
  <si>
    <r>
      <t>(1+AC+S+R+G)(1+DF)(1+L)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</t>
    </r>
  </si>
  <si>
    <t>OK! Percentual do BDI quando calculado sem desoneração atende ao limite estipulado pelo Acórdão TCU 2.622/2013</t>
  </si>
  <si>
    <t xml:space="preserve">                       (1-I)</t>
  </si>
  <si>
    <t>Obs¹: Para pagamento de material em canteiro, quando possível nos programas do Gestor, o BDI de Materiais deve ser limitado a 12,00%</t>
  </si>
  <si>
    <t xml:space="preserve">Eu, responsável técnico pelo orçamento, declaro para os devidos fins que a opção pela desoneração sobre a folha de pagamento é mais adequada para a administração pública. </t>
  </si>
  <si>
    <t>Declaração do Tomador dos Recursos:</t>
  </si>
  <si>
    <t xml:space="preserve">     Declaro, conforme legislação tributária municipal, que a alíquota do ISS é de 3% e a sua base de cálculo é de 100% sobre o valor total do orçamento.</t>
  </si>
  <si>
    <t>Responsável Técnico pela Composição do BDI</t>
  </si>
  <si>
    <t>Nome: DARCIO PAGANI VIEIRA</t>
  </si>
  <si>
    <t>Responsável indicado pelo Tomador</t>
  </si>
  <si>
    <t>Registro: 077.222-9</t>
  </si>
  <si>
    <r>
      <t xml:space="preserve">Nome: </t>
    </r>
    <r>
      <rPr>
        <u/>
        <sz val="11"/>
        <color theme="1"/>
        <rFont val="Arial"/>
        <family val="2"/>
      </rPr>
      <t>HELDER FRANCISCO LOCH</t>
    </r>
  </si>
  <si>
    <t xml:space="preserve">ART: </t>
  </si>
  <si>
    <r>
      <t xml:space="preserve">             Cargo: </t>
    </r>
    <r>
      <rPr>
        <u/>
        <sz val="11"/>
        <color theme="1"/>
        <rFont val="Arial"/>
        <family val="2"/>
      </rPr>
      <t>CONTADOR</t>
    </r>
  </si>
  <si>
    <t xml:space="preserve">             CPF: 288.787.289-34</t>
  </si>
  <si>
    <t>LE</t>
  </si>
  <si>
    <t>LD</t>
  </si>
  <si>
    <t>Lado</t>
  </si>
  <si>
    <t>Construção de Rodovias</t>
  </si>
  <si>
    <t xml:space="preserve">Equipamento/Material: </t>
  </si>
  <si>
    <t>Fornecedor Consultado</t>
  </si>
  <si>
    <t>CNPJ</t>
  </si>
  <si>
    <t xml:space="preserve">Data da coleta da Informação </t>
  </si>
  <si>
    <t>Contato</t>
  </si>
  <si>
    <t>Telefone</t>
  </si>
  <si>
    <t>Data-base do Orçamento:</t>
  </si>
  <si>
    <t>SINALIZAÇÃO HORIZONTAL - PINTURA DE FAIXA</t>
  </si>
  <si>
    <t>Total (m²)</t>
  </si>
  <si>
    <t>Tipo</t>
  </si>
  <si>
    <t>Quantidade (un.)</t>
  </si>
  <si>
    <t>Faixas (un.)</t>
  </si>
  <si>
    <t>MUNICIPIO: MARACAJÁ</t>
  </si>
  <si>
    <t>ESTADO: SC</t>
  </si>
  <si>
    <t>3.8</t>
  </si>
  <si>
    <t>3.9</t>
  </si>
  <si>
    <t>SINALIZAÇÃO VERTICAL - PLACA DE REGULAMENTAÇÃO</t>
  </si>
  <si>
    <t>Est. Inicial</t>
  </si>
  <si>
    <t>REGULARIZACAO E COMPACTAÇÃO DE SUBLEITO</t>
  </si>
  <si>
    <t>Espessura (m)</t>
  </si>
  <si>
    <t>IMPRIMAÇÃO EM LIGANTE COM EMULSÃO ASFÁLTICA</t>
  </si>
  <si>
    <t>PINTURA DE LIGAÇÃO</t>
  </si>
  <si>
    <t>Quantidade (m³)</t>
  </si>
  <si>
    <t>Quantidade (m²)</t>
  </si>
  <si>
    <t>TOTAL (m³):</t>
  </si>
  <si>
    <t>t</t>
  </si>
  <si>
    <t>A - EQUIPAMENTOS</t>
  </si>
  <si>
    <t>Aquecedor de fluido térmico - 12 kW</t>
  </si>
  <si>
    <t>Grupo gerador - 456 kVA</t>
  </si>
  <si>
    <t>Operativa</t>
  </si>
  <si>
    <t>Improdutiva</t>
  </si>
  <si>
    <t>Produtivo</t>
  </si>
  <si>
    <t>Improdutivo</t>
  </si>
  <si>
    <t>Utilização</t>
  </si>
  <si>
    <t>Custo Horário</t>
  </si>
  <si>
    <t>B - MÃO DE OBRA</t>
  </si>
  <si>
    <t>Custo Horário Total</t>
  </si>
  <si>
    <t>P9824</t>
  </si>
  <si>
    <t>Servente</t>
  </si>
  <si>
    <t>h</t>
  </si>
  <si>
    <t>SISTEMA DE CUSTOS REFERENCIAIS DE OBRAS - SICRO</t>
  </si>
  <si>
    <t>Custo Unitário de Referência</t>
  </si>
  <si>
    <t>Santa Catarina</t>
  </si>
  <si>
    <t>Produção da equipe:</t>
  </si>
  <si>
    <t>Valores em reais (R$)</t>
  </si>
  <si>
    <t>C - MATERIAL</t>
  </si>
  <si>
    <t>Custo unitário total de material:</t>
  </si>
  <si>
    <t>Custo horário total de mão de obra:</t>
  </si>
  <si>
    <t>Custo horário total de execução:</t>
  </si>
  <si>
    <t>Custo horário total de equipamentos:</t>
  </si>
  <si>
    <t>D - ATIVIDADES AUXILIARES</t>
  </si>
  <si>
    <t>Custo total de atividades auxiliares:</t>
  </si>
  <si>
    <t>E - TEMPO FIXO</t>
  </si>
  <si>
    <t>Código</t>
  </si>
  <si>
    <t>Custo Unitário</t>
  </si>
  <si>
    <t>Custo unitário total de tempo fixo:</t>
  </si>
  <si>
    <t>Custo unitário direto total:</t>
  </si>
  <si>
    <t>Subtotal:</t>
  </si>
  <si>
    <t>Custo unitário de execução:</t>
  </si>
  <si>
    <t>E9762</t>
  </si>
  <si>
    <t>E9530</t>
  </si>
  <si>
    <t>E9545</t>
  </si>
  <si>
    <t>Custo do FIC:</t>
  </si>
  <si>
    <t>M2092</t>
  </si>
  <si>
    <t>T</t>
  </si>
  <si>
    <t>PREÇO MÉDIO MENSAL PONDERADO PRATICADO PELOS DISTRIBUIDORES DE PRODUTOS ASFÁLTICOS (R$/KG)</t>
  </si>
  <si>
    <t>Importante:</t>
  </si>
  <si>
    <t>Quando não houver declaração de venda do produto selecionado, ou quando a declaração de venda do produto ocorrer por menos de 03 (três) distribuidoras, a tabela indicará campo vazio.</t>
  </si>
  <si>
    <t>Mês</t>
  </si>
  <si>
    <t>Produto</t>
  </si>
  <si>
    <t>Preço</t>
  </si>
  <si>
    <t>EMULSÃO ASFÁLTICA PARA SERVIÇO DE IMPRIMAÇÃO</t>
  </si>
  <si>
    <t xml:space="preserve">Obs: Deverá ser acrescido o ICMS de 17% e  BDI Diferenciado de 15% em relação ao valor do material </t>
  </si>
  <si>
    <t>PLACA DE OBRA</t>
  </si>
  <si>
    <t>REAJUSTE</t>
  </si>
  <si>
    <t>DRENAGEM</t>
  </si>
  <si>
    <t>PAVIMENTAÇÃO</t>
  </si>
  <si>
    <t>SINALIZAÇÃO VERTICAL</t>
  </si>
  <si>
    <t>SINALIZAÇÃO HORIZONTAL</t>
  </si>
  <si>
    <t>Rolo compactador de pneus autopropelido de 27 t - 85 kW</t>
  </si>
  <si>
    <t>Vibroacabadora de asfalto sobre esteiras - 82 kW</t>
  </si>
  <si>
    <t>PREFEITURA MUNICIPAL DE MARACAJÁ/SC</t>
  </si>
  <si>
    <t>ESTUDO DA BACIA DE CONTRIBUIÇÃO</t>
  </si>
  <si>
    <t>BACIA</t>
  </si>
  <si>
    <t>L. (m)</t>
  </si>
  <si>
    <t>Área (km²)</t>
  </si>
  <si>
    <t>Montante</t>
  </si>
  <si>
    <t>Jusante</t>
  </si>
  <si>
    <t>Decl. (m/km)</t>
  </si>
  <si>
    <t>TR (anos)</t>
  </si>
  <si>
    <t>i (mm/h)</t>
  </si>
  <si>
    <t>C (runoff)</t>
  </si>
  <si>
    <t>Qd (m³/s) (SOLICITADA)</t>
  </si>
  <si>
    <t>DIMENSIONAMENTO</t>
  </si>
  <si>
    <t>ESTACA</t>
  </si>
  <si>
    <t>I (m/m)</t>
  </si>
  <si>
    <r>
      <t>Ø</t>
    </r>
    <r>
      <rPr>
        <b/>
        <sz val="11.5"/>
        <rFont val="Calibri"/>
        <family val="2"/>
      </rPr>
      <t xml:space="preserve"> Projetado</t>
    </r>
  </si>
  <si>
    <t>SUBSTITUIÇÃO</t>
  </si>
  <si>
    <t>ÁREA DE CONTRIBUIÇÃO (m²)</t>
  </si>
  <si>
    <t>ÁREA DE CONTRIBUIÇÃO (HA)</t>
  </si>
  <si>
    <t>ÁREA DE CONTRIBUIÇÃO (KM²)</t>
  </si>
  <si>
    <t>PAVIMENTAÇÃO COM CONCRETO ASFÁLTICO, TERRAPLENAGEM, DRENAGEM E SINALIZAÇÃO</t>
  </si>
  <si>
    <t>SEMI DISTÂNCIA</t>
  </si>
  <si>
    <t>SOMA DAS ÁREAS</t>
  </si>
  <si>
    <t>ÁREA DE CORTE</t>
  </si>
  <si>
    <t>VOLUME DE CORTE</t>
  </si>
  <si>
    <t>ÁREA DE ATERRO</t>
  </si>
  <si>
    <t>VOLUME DE ATERRO</t>
  </si>
  <si>
    <t>ANEXO 03 - ESTUDO DE BACIAS DE CONTRIBUIÇÃO PARA CÁLCULO</t>
  </si>
  <si>
    <t>E DIMENSIONAMENTO DE BUEIRO DE TALVEGUE</t>
  </si>
  <si>
    <t>TERRAPLENAGEM</t>
  </si>
  <si>
    <t>P9821</t>
  </si>
  <si>
    <t>Pedreiro</t>
  </si>
  <si>
    <t>SINALIZAÇÃO HORIZONTAL E VERTICAL</t>
  </si>
  <si>
    <t>BASE DE BRITA GRADUADA SIMPLES</t>
  </si>
  <si>
    <t>Base ou sub-base de brita graduada com brita comercial</t>
  </si>
  <si>
    <t>M1946</t>
  </si>
  <si>
    <t>E9559</t>
  </si>
  <si>
    <t>E9584</t>
  </si>
  <si>
    <t>E9021</t>
  </si>
  <si>
    <t>E9689</t>
  </si>
  <si>
    <t>M0028</t>
  </si>
  <si>
    <t>M0005</t>
  </si>
  <si>
    <t>M0345</t>
  </si>
  <si>
    <t>M1943</t>
  </si>
  <si>
    <t>M1941</t>
  </si>
  <si>
    <t>M1103</t>
  </si>
  <si>
    <t>Brita 0</t>
  </si>
  <si>
    <t>Óleo combustível 1A</t>
  </si>
  <si>
    <t>Pedrisco</t>
  </si>
  <si>
    <t>kg</t>
  </si>
  <si>
    <t>l</t>
  </si>
  <si>
    <t>Areia média - Caminhão basculante 10 m³</t>
  </si>
  <si>
    <t>Brita 0 - Caminhão basculante 10 m³</t>
  </si>
  <si>
    <t>Pedrisco - Caminhão basculante 10 m³</t>
  </si>
  <si>
    <t>F - MOMENTO DE TRANSPORTE</t>
  </si>
  <si>
    <t>DMT</t>
  </si>
  <si>
    <t>LN</t>
  </si>
  <si>
    <t>RP</t>
  </si>
  <si>
    <t>P</t>
  </si>
  <si>
    <t>tkm</t>
  </si>
  <si>
    <t>Custo unitário total de transporte:</t>
  </si>
  <si>
    <t>CIMENTOS ASFÁLTICOS CAP-50-70</t>
  </si>
  <si>
    <t>Preço Unitário</t>
  </si>
  <si>
    <t>Rolo compactador liso autopropelido vibratório de 11 t - 97 kW</t>
  </si>
  <si>
    <t>kg/m³</t>
  </si>
  <si>
    <t>Cal hidratada - Caminhão basculante 10 m³</t>
  </si>
  <si>
    <t>Cimento asfáltico CAP 50/70 - Caminhão basculante 10 m³</t>
  </si>
  <si>
    <t>E9571</t>
  </si>
  <si>
    <t>Caminhão tanque com capacidade de 10.000 l - 188 kW</t>
  </si>
  <si>
    <t>Custo total de atividades auxiliares</t>
  </si>
  <si>
    <t>Subtotal</t>
  </si>
  <si>
    <t>Aquisição de brita graduada simples</t>
  </si>
  <si>
    <t>OBRAS DE ARTE ESPECIAIS</t>
  </si>
  <si>
    <t>PAVIMENTOS CONCRETO CIMENTO PORTLAND</t>
  </si>
  <si>
    <t>CONSERVAÇÃO RODOVIÁRIA</t>
  </si>
  <si>
    <t>LIGANTES BETUMINOSOS</t>
  </si>
  <si>
    <t>IGP - DI</t>
  </si>
  <si>
    <t>VERGALHÕES E ARAMES DE AÇO CARBONO</t>
  </si>
  <si>
    <t>PRODUTOS SIDERÚRGICOS</t>
  </si>
  <si>
    <t>PRODUTOS DE AÇO GALVANIZADO</t>
  </si>
  <si>
    <t>ASFALTO DILUÍDO</t>
  </si>
  <si>
    <t>CIMENTO ASFÁLTICO PETRÓLEO (CAP 7 e 20)</t>
  </si>
  <si>
    <t>EMULSÕES (RR1C E RR2C)</t>
  </si>
  <si>
    <t>ADMINISTRAÇÃO LOCAL</t>
  </si>
  <si>
    <t>MOBILIZAÇÃO E DESMOBILIZAÇÃO</t>
  </si>
  <si>
    <t>OBRAS COMPLEMENTARES E MEIO AMBIENTE</t>
  </si>
  <si>
    <t>DESCRIÇÃO DOS ÍNDICES</t>
  </si>
  <si>
    <t>CÓDIGO</t>
  </si>
  <si>
    <t>ÍNDICES DE REAJUSTAMENTO DE OBRAS RODOVIÁRIAS</t>
  </si>
  <si>
    <t>TER</t>
  </si>
  <si>
    <t>PAV</t>
  </si>
  <si>
    <t>DRE</t>
  </si>
  <si>
    <t>IGP</t>
  </si>
  <si>
    <t>OAE</t>
  </si>
  <si>
    <t>SH</t>
  </si>
  <si>
    <t>CR</t>
  </si>
  <si>
    <t>LB</t>
  </si>
  <si>
    <t>SV</t>
  </si>
  <si>
    <t>AD</t>
  </si>
  <si>
    <t>AL</t>
  </si>
  <si>
    <t>PCCP</t>
  </si>
  <si>
    <t>INCC</t>
  </si>
  <si>
    <t>VAAC</t>
  </si>
  <si>
    <t>PAG</t>
  </si>
  <si>
    <t>CAP</t>
  </si>
  <si>
    <t>MD</t>
  </si>
  <si>
    <t>OCMA</t>
  </si>
  <si>
    <t>COM</t>
  </si>
  <si>
    <t>Valor unitário sem BDI</t>
  </si>
  <si>
    <t>Código de Reajuste</t>
  </si>
  <si>
    <t>FORNECIMENTO DE MATERIAL BETUMINOSO</t>
  </si>
  <si>
    <t>OBS.: D.M.T da Refinaria/PR até Usina Asfáltica = 488,00 km. ICMS = 17%</t>
  </si>
  <si>
    <t>TOTAL (m²):</t>
  </si>
  <si>
    <t>TRANSPORTE DO MATERIAL BETUMINOSO PARA PINTURA DE LIGAÇÃO COM EMULSÃO ASFÁLTICA - 0,00045T/m²:</t>
  </si>
  <si>
    <t>TOTAL (T) - PESO ESPECÍFICO 2,55T/m³:</t>
  </si>
  <si>
    <t>Imprimação com emulsão asfáltica - TX=0,0013 t/m²</t>
  </si>
  <si>
    <t>Pintura de ligação - TX=0,00045 t/m²</t>
  </si>
  <si>
    <t>RUA ARCENDINO FARIAS</t>
  </si>
  <si>
    <t>BAIRRO/DISTRITO: ESPIGÃO GRANDE</t>
  </si>
  <si>
    <t>Duplo de 0,60m</t>
  </si>
  <si>
    <t>Escavação (m³)</t>
  </si>
  <si>
    <t>Reaterro (m³)</t>
  </si>
  <si>
    <t>(montante)</t>
  </si>
  <si>
    <t>(jusante)</t>
  </si>
  <si>
    <t>TRAVESSIA DE PISTA</t>
  </si>
  <si>
    <t>SERVIÇO</t>
  </si>
  <si>
    <t>QTDADE</t>
  </si>
  <si>
    <t>UNID.</t>
  </si>
  <si>
    <t>BSTC D=</t>
  </si>
  <si>
    <t>ESCAVAÇÃO</t>
  </si>
  <si>
    <t>REATERRO</t>
  </si>
  <si>
    <t>COMPOSIÇÕES DE PREÇO UNITÁRIO</t>
  </si>
  <si>
    <t>INSUMO</t>
  </si>
  <si>
    <t>UNIDADE</t>
  </si>
  <si>
    <t>ORIGEM DE PREÇO ITEM</t>
  </si>
  <si>
    <t>COEFICIENTE</t>
  </si>
  <si>
    <t>PREÇO UNITÁRIO</t>
  </si>
  <si>
    <t>CUSTO TOTAL</t>
  </si>
  <si>
    <t>CHP</t>
  </si>
  <si>
    <t>COEFICIENTE DE REPRESENTATIVIDADE</t>
  </si>
  <si>
    <t>CHI</t>
  </si>
  <si>
    <t>88316</t>
  </si>
  <si>
    <t>SERVENTE COM ENCARGOS COMPLEMENTARES</t>
  </si>
  <si>
    <t>H</t>
  </si>
  <si>
    <t>COLETADO</t>
  </si>
  <si>
    <t>ATRIBUÍDO SÃO PAULO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</si>
  <si>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</si>
  <si>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</si>
  <si>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</si>
  <si>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</si>
  <si>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COMPOSIÇÃO 05</t>
  </si>
  <si>
    <t xml:space="preserve">Custo R$ </t>
  </si>
  <si>
    <t>COMPOSIÇÃO 06</t>
  </si>
  <si>
    <t>Base ou sub-base de macadame hidráulico com brita comercial</t>
  </si>
  <si>
    <t>M0808</t>
  </si>
  <si>
    <t>M1135</t>
  </si>
  <si>
    <t>Brita 4 (rachinha)</t>
  </si>
  <si>
    <t>Pó de pedra</t>
  </si>
  <si>
    <t>Brita 4 (rachinha) - Caminhão basculante 10</t>
  </si>
  <si>
    <t>Pó de pedra - Caminhão basculante 10 m³</t>
  </si>
  <si>
    <t>E9074</t>
  </si>
  <si>
    <t>Carregadeira de pneus com capacidade de 1,72 m³ - 113 kW</t>
  </si>
  <si>
    <t>Tanque de estocagem de asfalto com agitadores de 60.000 l</t>
  </si>
  <si>
    <t>Usina de asfalto a quente gravimétrica com capacidade de 100/140 t/h -260 Kw</t>
  </si>
  <si>
    <t>M0191</t>
  </si>
  <si>
    <t>M0344</t>
  </si>
  <si>
    <t>M3228</t>
  </si>
  <si>
    <t>Brita 1</t>
  </si>
  <si>
    <t>Cal hidratada - a granel</t>
  </si>
  <si>
    <t>Cimento asfáltico CAP 50/70 com 15% de asfalto borracha</t>
  </si>
  <si>
    <t>Brita 1 - Caminhão basculante 10 m³</t>
  </si>
  <si>
    <t>Cal hidratada - a granel - Caminhão silo 30 m³</t>
  </si>
  <si>
    <t>Usinagem de concreto asfáltico com borracha - faixa C - brita comercial</t>
  </si>
  <si>
    <t>Concreto asfáltico com borracha - faixa C - brita comercial</t>
  </si>
  <si>
    <t>E9681</t>
  </si>
  <si>
    <t>Rolo compactador liso tandem vibratório autopropelido de 10,4 t - 82 kW</t>
  </si>
  <si>
    <t>Usinagem de concreto asfáltico com borracha - faixa C - brita comercial - Caminhão basculante 10 m³</t>
  </si>
  <si>
    <t>COMPOSIÇÃO 07</t>
  </si>
  <si>
    <t>COMPOSIÇÃO 09</t>
  </si>
  <si>
    <t>AUXILIAR</t>
  </si>
  <si>
    <t>LOCALIZAÇÃO</t>
  </si>
  <si>
    <t>ÍNDICE NACIONAL DE CUSTO DA CONSTRUÇÃO</t>
  </si>
  <si>
    <t>Multipla Sinalização</t>
  </si>
  <si>
    <t xml:space="preserve">85.394.765/0001-06 </t>
  </si>
  <si>
    <t>Hélio</t>
  </si>
  <si>
    <t>98402-7454</t>
  </si>
  <si>
    <t>Placa de Identificação de Rua com suporte metálico galvanizado</t>
  </si>
  <si>
    <t>ESTADO: SANTA CATARINA</t>
  </si>
  <si>
    <t>T :</t>
  </si>
  <si>
    <t>anos</t>
  </si>
  <si>
    <t>Coef.  n :</t>
  </si>
  <si>
    <t xml:space="preserve">K: </t>
  </si>
  <si>
    <t xml:space="preserve">b: </t>
  </si>
  <si>
    <t>m:</t>
  </si>
  <si>
    <t xml:space="preserve">n: </t>
  </si>
  <si>
    <t>Trecho</t>
  </si>
  <si>
    <t>L (m)</t>
  </si>
  <si>
    <t>Área (m²)</t>
  </si>
  <si>
    <t>TC (min)</t>
  </si>
  <si>
    <t>I (mm/h)</t>
  </si>
  <si>
    <t>C (run off)</t>
  </si>
  <si>
    <t>Vazão (m³/s)</t>
  </si>
  <si>
    <t>Cota Terreno</t>
  </si>
  <si>
    <t xml:space="preserve">Declividade              </t>
  </si>
  <si>
    <t xml:space="preserve">Diâmetro </t>
  </si>
  <si>
    <t>Velocidade (m/s)</t>
  </si>
  <si>
    <t>Recobrimento</t>
  </si>
  <si>
    <t>Cota da Galeria</t>
  </si>
  <si>
    <t>Profundidade da Vala</t>
  </si>
  <si>
    <t xml:space="preserve">Tempo de Percurso </t>
  </si>
  <si>
    <t>Projeto</t>
  </si>
  <si>
    <t>Admissível sarjeta</t>
  </si>
  <si>
    <t>Captada</t>
  </si>
  <si>
    <t>Natural (mm)</t>
  </si>
  <si>
    <t>Adotada   (mm)</t>
  </si>
  <si>
    <t>Calculado (m)</t>
  </si>
  <si>
    <t>Comercial (mm)</t>
  </si>
  <si>
    <t>Mínimo (m)</t>
  </si>
  <si>
    <t>Adotado (m)</t>
  </si>
  <si>
    <t>Montante (m)</t>
  </si>
  <si>
    <t xml:space="preserve">Jusante (m) </t>
  </si>
  <si>
    <t>Galeria (min)</t>
  </si>
  <si>
    <t>Sarjeta (min)</t>
  </si>
  <si>
    <t>CONCRETO ASFÁLTICO CAP 50/70 - FAIXA C</t>
  </si>
  <si>
    <t>Rua</t>
  </si>
  <si>
    <t>LADO</t>
  </si>
  <si>
    <t>0,0020000</t>
  </si>
  <si>
    <t>Dreno longitudinal profundo para corte em solo - DPS 08 - tubo PEAD e brita comercial</t>
  </si>
  <si>
    <t>E9556</t>
  </si>
  <si>
    <t>Compactador manual de placa vibratória - 3,00 kW</t>
  </si>
  <si>
    <t>M0192</t>
  </si>
  <si>
    <t>M2051</t>
  </si>
  <si>
    <t>M1658</t>
  </si>
  <si>
    <t>Brita 2</t>
  </si>
  <si>
    <t>Tubo PEAD corrugado perfurado para drenagem - D = 230 mm</t>
  </si>
  <si>
    <t>Geotêxtil não-tecido agulhado em poliéster - resistência à tração longitudinal de 14 kN/m</t>
  </si>
  <si>
    <t>Escavação mecânica de vala em material de 1ª categoria</t>
  </si>
  <si>
    <t>Brita 2 - Caminhão basculante 10 m³</t>
  </si>
  <si>
    <t>Geotêxtil não-tecido agulhado em poliéster - resistência à tração longitudinal de 14 kN/m - Caminhão carroceria 15 t</t>
  </si>
  <si>
    <t>Tubo PEAD corrugado perfurado para drenagem - D = 230 mm - Caminhão carroceria 15 t</t>
  </si>
  <si>
    <t>0,0300000</t>
  </si>
  <si>
    <t xml:space="preserve">Valor adotado (mediana): </t>
  </si>
  <si>
    <t>Unidade: un.</t>
  </si>
  <si>
    <t>EIXO DE PISTA</t>
  </si>
  <si>
    <t xml:space="preserve">           ORÇAMENTO E QUADRO DE CONSULTA DE PREÇOS DE MERCADO</t>
  </si>
  <si>
    <t>TRANSPORTE DO MATERIAL BETUMINOSO PARA ASFÁLTICO CAP 50/70 - FAIXA C - PESO ESPECÍFICO 2,55T/m³:</t>
  </si>
  <si>
    <t>AQUISIÇÃO DE MATERIAL BETUMINOSO PARA ASFÁLTICO CAP 50/70 - FAIXA C - 5,5%:</t>
  </si>
  <si>
    <t>Suporte metálico galvanizado para placa de regulamentação - R1 - lado de 0,248 m - fornecimento e implantação</t>
  </si>
  <si>
    <t>Placa de regulamentação em aço, R1 lado 0,248 m - película retrorrefletiva tipo I + SI - fornecimento e implantação</t>
  </si>
  <si>
    <t>Suporte para placa de sinalização em madeira de lei tratada 8 x 8 cm - fornecimento e implantação</t>
  </si>
  <si>
    <t>CONSULTORIA (SUPERVISÃO E PROJETOS)</t>
  </si>
  <si>
    <t>OBRAS DE ARTE ESPECIAIS (SEM AÇO)</t>
  </si>
  <si>
    <t>Estado</t>
  </si>
  <si>
    <t>PR</t>
  </si>
  <si>
    <t>ESCAVAÇÃO MECANIZADA DE VALA COM PROFUNDIDADE ATÉ 1,5 M (MÉDIA MONTANTE E JUSANTE/UMA COMPOSIÇÃO POR TRECHO), RETROESCAV. (0,26 M3), LARGURA DE 0,8 M A 1,5 M, EM SOLO DE 1A CATEGORIA, LOCAIS COM BAIXO NÍVEL DE INTERFERÊNCIA</t>
  </si>
  <si>
    <t>REATERRO MECANIZADO DE VALA COM RETROESCAVADEIRA (CAPACIDADE DA CAÇAMBA DA RETRO: 0,26 M³ / POTÊNCIA: 88 HP), LARGURA DE 0,8 A 1,5 M, PROFUNDIDADE ATÉ 1,5 M, COM SOLO DE 1ª CATEGORIA EM LOCAIS COM BAIXO NÍVEL DE INTERFERÊNCIA</t>
  </si>
  <si>
    <t>5.1</t>
  </si>
  <si>
    <t>5.2</t>
  </si>
  <si>
    <t>5.3</t>
  </si>
  <si>
    <t>5.4</t>
  </si>
  <si>
    <t>5.5</t>
  </si>
  <si>
    <t>5.6</t>
  </si>
  <si>
    <t>VOLUME TOTAL DE ESCAVAÇÃO:</t>
  </si>
  <si>
    <t>VOLUME TOTAL DE ATERRO:</t>
  </si>
  <si>
    <t>SERVIÇOS COM AÇO PARA OBRAS DE ARTE ESPECIAIS</t>
  </si>
  <si>
    <t>EMULSÃO ASFÁLTICA MODIFICADA</t>
  </si>
  <si>
    <t>ASFALTO MODIFICADO POR POLÍMERO</t>
  </si>
  <si>
    <t>EMULSÃO ASFÁLTICA DE IMPRIMAÇÃO</t>
  </si>
  <si>
    <t>ASFALTO BORRACHA</t>
  </si>
  <si>
    <t>SUPERESTRUTURA DE PASSARELAS METÁLICAS</t>
  </si>
  <si>
    <t>OAE (SA)</t>
  </si>
  <si>
    <t>SAOAE</t>
  </si>
  <si>
    <t>OS</t>
  </si>
  <si>
    <t>RR</t>
  </si>
  <si>
    <t>EAM</t>
  </si>
  <si>
    <t>AMP</t>
  </si>
  <si>
    <t>EAI</t>
  </si>
  <si>
    <t>AB</t>
  </si>
  <si>
    <t>SPM</t>
  </si>
  <si>
    <t>1.2</t>
  </si>
  <si>
    <t>m³/km</t>
  </si>
  <si>
    <t>0,0190000</t>
  </si>
  <si>
    <t>0,0450000</t>
  </si>
  <si>
    <t>5684</t>
  </si>
  <si>
    <t>ROLO COMPACTADOR VIBRATÓRIO DE UM CILINDRO AÇO LISO, POTÊNCIA 80 HP, PESO OPERACIONAL MÁXIMO 8,1 T, IMPACTO DINÂMICO 16,15 / 9,5 T, LARGURA DE TRABALHO 1,68 M - CHP DIURNO. AF_06/2014</t>
  </si>
  <si>
    <t>0,0090000</t>
  </si>
  <si>
    <t>5685</t>
  </si>
  <si>
    <t>ROLO COMPACTADOR VIBRATÓRIO DE UM CILINDRO AÇO LISO, POTÊNCIA 80 HP, PESO OPERACIONAL MÁXIMO 8,1 T, IMPACTO DINÂMICO 16,15 / 9,5 T, LARGURA DE TRABALHO 1,68 M - CHI DIURNO. AF_06/2014</t>
  </si>
  <si>
    <t>0,0550000</t>
  </si>
  <si>
    <t>5932</t>
  </si>
  <si>
    <t>MOTONIVELADORA POTÊNCIA BÁSICA LÍQUIDA (PRIMEIRA MARCHA) 125 HP, PESO BRUTO 13032 KG, LARGURA DA LÂMINA DE 3,7 M - CHP DIURNO. AF_06/2014</t>
  </si>
  <si>
    <t>0,0110000</t>
  </si>
  <si>
    <t>5934</t>
  </si>
  <si>
    <t>MOTONIVELADORA POTÊNCIA BÁSICA LÍQUIDA (PRIMEIRA MARCHA) 125 HP, PESO BRUTO 13032 KG, LARGURA DA LÂMINA DE 3,7 M - CHI DIURNO. AF_06/2014</t>
  </si>
  <si>
    <t>0,0530000</t>
  </si>
  <si>
    <t>0,0640000</t>
  </si>
  <si>
    <t>COMPOSIÇÃO 01</t>
  </si>
  <si>
    <t>EXECUÇÃO E COMPACTAÇÃO DE BASE PARA PAVIMENTAÇÃO DE BRITA GRADUADA SIMPLES - NÃO INCLUI CARGA E TRANSPORTE E FORNECIMENTO DE INSUMOS</t>
  </si>
  <si>
    <t>COMPOSIÇÃO 02</t>
  </si>
  <si>
    <t>0,0210000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</si>
  <si>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</si>
  <si>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</si>
  <si>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</si>
  <si>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</si>
  <si>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0,0280000</t>
  </si>
  <si>
    <t>0,0080000</t>
  </si>
  <si>
    <t>0,0220000</t>
  </si>
  <si>
    <t>96463</t>
  </si>
  <si>
    <t>ROLO COMPACTADOR DE PNEUS, ESTATICO, PRESSAO VARIAVEL, POTENCIA 110 HP, PESO SEM/COM LASTRO 10,8/27 T, LARGURA DE ROLAGEM 2,30 M - CHP DIURNO. AF_06/2017</t>
  </si>
  <si>
    <t>0,0040000</t>
  </si>
  <si>
    <t>96464</t>
  </si>
  <si>
    <t>ROLO COMPACTADOR DE PNEUS, ESTATICO, PRESSAO VARIAVEL, POTENCIA 110 HP, PESO SEM/COM LASTRO 10,8/27 T, LARGURA DE ROLAGEM 2,30 M - CHI DIURNO. AF_06/2017</t>
  </si>
  <si>
    <t>0,0260000</t>
  </si>
  <si>
    <t>EMULSÕES ASFÁLTICAS RR-1C</t>
  </si>
  <si>
    <t>Contratado</t>
  </si>
  <si>
    <t>Cálculo para o  valor do transp. adotou-se a fórmula conforme Portaria do DNIT n. 1.977, de 25 de outubro de 2017, publicada no Diário Oficial da União (26,939 + 0,253 x D) =  [(26,939*(544,113/270,237))+(0,253*544,113/270,237)*267] x 1,17=</t>
  </si>
  <si>
    <t>PLANILHA DE CÁLCULO PARA DIMENSIONAMENTO E QUANTITATIVOS DE DRENAGEM URBANA</t>
  </si>
  <si>
    <t>PLANILHA DE CÁLCULO DE QUANTITATIVOS DE PAVIMENTAÇÃO</t>
  </si>
  <si>
    <t>PLANILHA   DE  CÁLCULO DE QUANTITATIVOS DE  TERRAPLENAGEM</t>
  </si>
  <si>
    <t>PLANILHA DE CÁLCULO DE QUANTITATIVOS DE SINALIZAÇÃO</t>
  </si>
  <si>
    <t>OBS.: D.M.T da Refinaria/PR até Usina Asfáltica = 267,00 km. ICMS = 17%</t>
  </si>
  <si>
    <t>Fonte: https://www.gov.br/anp/pt-br/assuntos/precos-e-defesa-da-concorrencia/precos/precos-de-distribuicao-de-produtos-asfalticos</t>
  </si>
  <si>
    <t xml:space="preserve">                       </t>
  </si>
  <si>
    <t>CRONOGRAMA GLOBAL</t>
  </si>
  <si>
    <t>Tubo de Concreto simples 0,40m</t>
  </si>
  <si>
    <t>Unidade: m</t>
  </si>
  <si>
    <t>Pré moldados Pagani</t>
  </si>
  <si>
    <t>08.372.222/0001-47</t>
  </si>
  <si>
    <t>Ademir</t>
  </si>
  <si>
    <t>3524-1044</t>
  </si>
  <si>
    <t>Concretubos</t>
  </si>
  <si>
    <t>08.982.272/0001-46</t>
  </si>
  <si>
    <t>Ritieli</t>
  </si>
  <si>
    <t>3524-0999</t>
  </si>
  <si>
    <t>Artevila Ind. e Com. Ltda</t>
  </si>
  <si>
    <t>79.937.199/0001-39</t>
  </si>
  <si>
    <t>Udson</t>
  </si>
  <si>
    <t>3432-0272</t>
  </si>
  <si>
    <t>KF Artfatos de Cimento</t>
  </si>
  <si>
    <t>78.885.548/0001-53</t>
  </si>
  <si>
    <t>Mª Eduarda</t>
  </si>
  <si>
    <t>3463-1138</t>
  </si>
  <si>
    <t>Concretos Comelli Ltda</t>
  </si>
  <si>
    <t>76.870.914/0001-75</t>
  </si>
  <si>
    <t>Renan</t>
  </si>
  <si>
    <t>3466-1664</t>
  </si>
  <si>
    <t>Tubo de Concreto simples 0,50m</t>
  </si>
  <si>
    <t>Concretos Comelli</t>
  </si>
  <si>
    <t>Tubo de Concreto armado 0,60m</t>
  </si>
  <si>
    <t>Tubo de Concreto armado 0,80m</t>
  </si>
  <si>
    <t>Meio fio - 15cm de largura</t>
  </si>
  <si>
    <t>Tubo de Concreto armado 1,00m</t>
  </si>
  <si>
    <t>Brita Graduada Simples (BGS)</t>
  </si>
  <si>
    <t>Unidade: m³</t>
  </si>
  <si>
    <t>Miner. Cedro Maracajá</t>
  </si>
  <si>
    <t>85.281.889/0004-28</t>
  </si>
  <si>
    <t>Karen</t>
  </si>
  <si>
    <t>3523-0389</t>
  </si>
  <si>
    <t>SBM - Mineração Ltda</t>
  </si>
  <si>
    <t>14.779.384/0003-69</t>
  </si>
  <si>
    <t>Patricia</t>
  </si>
  <si>
    <t>3523-1008</t>
  </si>
  <si>
    <t>Britagem Sombrio</t>
  </si>
  <si>
    <t>03.894.584/0001-84</t>
  </si>
  <si>
    <t>Leila</t>
  </si>
  <si>
    <t>3533-1027</t>
  </si>
  <si>
    <t>Areal Maccari</t>
  </si>
  <si>
    <t>02.721.573/0001-30</t>
  </si>
  <si>
    <t>Taffarel</t>
  </si>
  <si>
    <t>3434-2498</t>
  </si>
  <si>
    <t>Uggioni Britagem</t>
  </si>
  <si>
    <t>07.582.277/0001-19</t>
  </si>
  <si>
    <t>Gabriel</t>
  </si>
  <si>
    <t>99866-1509</t>
  </si>
  <si>
    <t>CR Colomo Retroterra</t>
  </si>
  <si>
    <t>81.828.923/0001-38</t>
  </si>
  <si>
    <t>Nilson</t>
  </si>
  <si>
    <t>3438-6666</t>
  </si>
  <si>
    <t>Pedra Britada N.02 (19 a 38)mm</t>
  </si>
  <si>
    <t>Débora</t>
  </si>
  <si>
    <t>Dulce Mara</t>
  </si>
  <si>
    <r>
      <t>Jazida Eckert</t>
    </r>
    <r>
      <rPr>
        <sz val="11"/>
        <color rgb="FFFF0000"/>
        <rFont val="Calibri"/>
        <family val="2"/>
        <scheme val="minor"/>
      </rPr>
      <t xml:space="preserve"> </t>
    </r>
  </si>
  <si>
    <t>02.808.957/0001-94</t>
  </si>
  <si>
    <t>Jonas</t>
  </si>
  <si>
    <t>98867-0176</t>
  </si>
  <si>
    <t>Pedra Britada N.01 (9,5 a 19)mm</t>
  </si>
  <si>
    <t>Pedra Britada N.00 (4,8 a 9,5)mm</t>
  </si>
  <si>
    <t>Pó de Pedra</t>
  </si>
  <si>
    <t>Macadame Seco (Pedra Rachão)</t>
  </si>
  <si>
    <t>Piso Tátil Alerta e Direcional</t>
  </si>
  <si>
    <t>Unidade: m²</t>
  </si>
  <si>
    <t>RM - Artefatos de Cimento</t>
  </si>
  <si>
    <t>13.272.997/0001-80</t>
  </si>
  <si>
    <t>Everton</t>
  </si>
  <si>
    <t>99907-0449</t>
  </si>
  <si>
    <t>Jbm Artefatos de Cimento</t>
  </si>
  <si>
    <t>08.836.239/0001-08</t>
  </si>
  <si>
    <t>Vendas</t>
  </si>
  <si>
    <t>99162-7062</t>
  </si>
  <si>
    <t>Timaco</t>
  </si>
  <si>
    <t>83.669.614/0001-98</t>
  </si>
  <si>
    <t>3437-2288</t>
  </si>
  <si>
    <t>Ladrilho Hidráulico</t>
  </si>
  <si>
    <t>Manta Geotextil - Bidim</t>
  </si>
  <si>
    <t>Comercial Caressi</t>
  </si>
  <si>
    <t>95.770.228/0002-58</t>
  </si>
  <si>
    <t>3524-7128</t>
  </si>
  <si>
    <t>Lelei Mat. de Construção</t>
  </si>
  <si>
    <t>06.538.857/0001-46</t>
  </si>
  <si>
    <t>Tubo PEAD</t>
  </si>
  <si>
    <t>Paver 20 x 10 x 8cm</t>
  </si>
  <si>
    <t>Reginaldo</t>
  </si>
  <si>
    <t>Josi</t>
  </si>
  <si>
    <t>JBM</t>
  </si>
  <si>
    <t>Renata</t>
  </si>
  <si>
    <t>Areia Fina (Areia para aterro)</t>
  </si>
  <si>
    <t>Jazida Eckert</t>
  </si>
  <si>
    <t>Junior</t>
  </si>
  <si>
    <t>3524-3544</t>
  </si>
  <si>
    <t>REGULARIZAÇÃO E COMPACTAÇÃO DE SUBLEITO DE SOLO PREDOMINANTEMENTE ARENOSO</t>
  </si>
  <si>
    <t>PINTURA DE EIXO VIÁRIO SOBRE ASFALTO COM TINTA RETRORREFLETIVA A BASE DE RESINA ACRÍLICA COM MICROESFERAS DE VIDRO, APLICAÇÃO MECÂNICA COM DEMARCADORA AUTOPROPELIDA</t>
  </si>
  <si>
    <t>ESCAVAÇÃO VERTICAL PARA INFRAESTRUTURA, COM CARGA, DESCARGA E TRANSPORTE DE SOLO DE 1ª CATEGORIA, COM ESCAVADEIRA HIDRÁULICA (CAÇAMBA: 1,2 M³ / 155 HP), FROTA DE 3 CAMINHÕES BASCULANTES DE 14 M³, DMT ATÉ 1 KM E VELOCIDADE MÉDIA14 KM/H</t>
  </si>
  <si>
    <t>ESPALHAMENTO DE MATERIAL COM TRATOR DE ESTEIRAS</t>
  </si>
  <si>
    <t>BOTA FORA</t>
  </si>
  <si>
    <t>BORDO DE PISTA - LE/LD</t>
  </si>
  <si>
    <t>Santhiago Mat.  Construção</t>
  </si>
  <si>
    <t>Thiago</t>
  </si>
  <si>
    <t>99999-6630</t>
  </si>
  <si>
    <t>3.7</t>
  </si>
  <si>
    <t>4.2</t>
  </si>
  <si>
    <t>Composição do BDI para obras com mão-de-obra sem desoneração (conforme Lei 13.161 de 2015)</t>
  </si>
  <si>
    <t>Percentual de BDI dentro do limite estipulado pelo Acódão TCU 2.622/2013. O cálculo dessa composição sem desoneração resulta em 20,73%</t>
  </si>
  <si>
    <t>Obs²: O  cálculo desta composição de BDI não considera a desoneração da contribuição previdenciária, conforme Lei 13.161/2015</t>
  </si>
  <si>
    <t>OBS.: SINAPI/SICRO SEM DESONERAÇÃO - FLORIANÓPOLIS/SC</t>
  </si>
  <si>
    <t>ENCARGOS SOCIAIS SEM DESONERAÇÃO</t>
  </si>
  <si>
    <t>Aquisição de emulsão asfáltica para imprimação</t>
  </si>
  <si>
    <t>Transporte de emulsão asfáltica para imprimação com caminhão com capacidade de 30.000L em Rodovia Pavimentada. DMT= 488,00 Km.</t>
  </si>
  <si>
    <t>PORTARIA DNIT N° 1.977</t>
  </si>
  <si>
    <t>Aquisição de emulsão asfáltica RR-1C</t>
  </si>
  <si>
    <t>4.4</t>
  </si>
  <si>
    <t>Transporte de emulsão asfáltica RR-1C para pintura de ligação com caminhão com capacidade de 30.000L em Rodovia Pavimentada. DMT= 488,00 Km.</t>
  </si>
  <si>
    <t>AQUISIÇÃO PARA A IMPRIMAÇÃO COM EMULSÃO ASFÁLTICA - 0,0013T/m²:</t>
  </si>
  <si>
    <t>TRANSPORTE DO MATERIAL BETUMINOSO PARA A IMPRIMAÇÃO COM EMULSÃO ASFÁLTICA - 0,0013T/m²:</t>
  </si>
  <si>
    <t>AQUISIÇÃO DO MATERIAL BETUMINOSO PARA PINTURA DE LIGAÇÃO COM EMULSÃO ASFÁLTICA RR-1C - 0,00045T/m²:</t>
  </si>
  <si>
    <t>4730</t>
  </si>
  <si>
    <t>PEDRA DE MAO OU PEDRA RACHAO PARA ARRIMO/FUNDACAO (POSTO PEDREIRA/FORNECEDOR, SEM FRETE)</t>
  </si>
  <si>
    <t>M3</t>
  </si>
  <si>
    <t>1,1000000</t>
  </si>
  <si>
    <t>4741</t>
  </si>
  <si>
    <t>PO DE PEDRA (POSTO PEDREIRA/FORNECEDOR, SEM FRETE)</t>
  </si>
  <si>
    <t>0,3000000</t>
  </si>
  <si>
    <t>95,53</t>
  </si>
  <si>
    <t>156,34</t>
  </si>
  <si>
    <t>65,63</t>
  </si>
  <si>
    <t>282,40</t>
  </si>
  <si>
    <t>114,09</t>
  </si>
  <si>
    <t>22,66</t>
  </si>
  <si>
    <t>EXECUÇÃO E COMPACTAÇÃO DE  SUB BASE PARA PAVIMENTAÇÃO DE MACADAME SECO - NÃO INCLUI CARGA E TRANSPORTE</t>
  </si>
  <si>
    <t>315,13</t>
  </si>
  <si>
    <t>75,13</t>
  </si>
  <si>
    <t>96393</t>
  </si>
  <si>
    <t>207,98</t>
  </si>
  <si>
    <t>88,27</t>
  </si>
  <si>
    <t>AQUISIÇÃO DE BRITA GRADUADA SIMPLES. AF_03/2020</t>
  </si>
  <si>
    <t>EXECUÇÃO DE PAVIMENTO COM APLICAÇÃO DE CONCRETO ASFÁLTICO, CAMADA DE ROLAMENTO - EXCLUSIVE CARGA E TRANSPORTE</t>
  </si>
  <si>
    <t>EXECUÇÃO E COMPACTAÇÃO DE BASE PARA PAVIMENTAÇÃO DE BRITA GRADUADA SIMPLES - NÃO INCLUI CARGA E TRANSPORTE</t>
  </si>
  <si>
    <t>BOCA DE LOBO</t>
  </si>
  <si>
    <t>CAIXA PARA BOCA DE LOBO SIMPLES RETANGULAR, EM ALVENARIA COM BLOCOS DE CONCRETO, DIMENSÕES INTERNAS: 0,6X1X1,2 M.</t>
  </si>
  <si>
    <t>222,85</t>
  </si>
  <si>
    <t>156,24</t>
  </si>
  <si>
    <t>282,26</t>
  </si>
  <si>
    <t>22,58</t>
  </si>
  <si>
    <t>Altura (m)</t>
  </si>
  <si>
    <t>PLACA DE IDENTIFICAÇÃO DE RUA</t>
  </si>
  <si>
    <t>Item</t>
  </si>
  <si>
    <t>REATERRO MECANIZADO DE CALÇADA COM RETROESCAVADEIRA</t>
  </si>
  <si>
    <t>DIREITO</t>
  </si>
  <si>
    <t>ESQUERDO</t>
  </si>
  <si>
    <t xml:space="preserve"> TOTAL:</t>
  </si>
  <si>
    <t>EMPOLAMENTO (X 1,4):</t>
  </si>
  <si>
    <t>ASSENTAMENTO DE GUIA (MEIO FIO) EM TRECHO RETO, CONFECCIONADA EM CONCRETO PRÉ-FABRICADO, DIMENSÕES 100X15X13X30 CM (COMPRIMENTO X BASE INFERIOR X BASE SUPERIOR X ALTURA), PARA VIAS URBANAS (USO VIÁRIO)</t>
  </si>
  <si>
    <t>CAMADA HORIZONTAL DRENANTE C/ PEDRA BRITADA 1 E 2</t>
  </si>
  <si>
    <t>EXECUÇÃO DE CONTRAPISO DE CONCRETO FCK= 20MPA, MOLDADO IN LOCO, USINADO, ACABAMENTO CONVENCIONAL, NÃO ARMADO</t>
  </si>
  <si>
    <t>EXECUÇÃO DE VIGA DE TRAVAMENTO DE CALÇADA (10X30CM) EM CONCRETO FCK= 20MPA</t>
  </si>
  <si>
    <t>PISO TÁTIL DIRECIONAL E ALERTA E DIRECIONAL DE CONCRETO (0,45X0,45) ASSENTADO SOBRE ARGAMASSA COLANTE (TIPO AC-III) REJUNTADO COM CIMENTO COMUM</t>
  </si>
  <si>
    <t>CALÇADAS (ACESSIBILIDADE)</t>
  </si>
  <si>
    <t>ASSENTAMENTO DE GUIA (MEIO-FIO) EM TRECHO RETO, CONFECCIONADA EM CONCRETO PRÉ-FABRICADO, DIMENSÕES 100X15X13X30 CM (COMPRIMENTO X BASE INFERIOR X BASE SUPERIOR X ALTURA)</t>
  </si>
  <si>
    <t>LASTRO COM MATERIAL GRANULAR (PEDRA BRITADA N.2), APLICADO EM PISOS OU LAJES SOBRE SOLO, ESPESSURA DE *4 CM*</t>
  </si>
  <si>
    <t>PLANILHA DE CÁLCULO DE QUANTITATIVOS DE CALÇADA (ACESSIBILIDADE)</t>
  </si>
  <si>
    <t>FAIXA DE PEDESTRE</t>
  </si>
  <si>
    <t>FAIXA DE RETENÇÃO</t>
  </si>
  <si>
    <t>PARE</t>
  </si>
  <si>
    <t>Quantidade (m)</t>
  </si>
  <si>
    <t>TRANSPORTE DE PEDRA SUB BASE COM CAMINHÃO BASCULANTE DE 14 M³, EM VIA URBANA PAVIMENTADA. DMT 2 KM</t>
  </si>
  <si>
    <t>TRANSPORTE DE BRITA GRADUADA SIMPLES COM CAMINHÃO BASCULANTE DE 14 M³, EM VIA URBANA PAVIMENTADA. DMT 2 KM</t>
  </si>
  <si>
    <t>TRANSPORTE DE CONCRETO ASFÁLTICO COM CAMINHÃO BASCULANTE DE 14 M³, EM VIA URBANA PAVIMENTADA, ADICIONAL PARA DMT EXCEDENTE A 30 KM (UNIDADE: M3XKM). DMT 2,00 KM</t>
  </si>
  <si>
    <t>EXECUÇÃO DE PASSEIO (CALÇADA) OU PISO DE CONCRETO COM CONCRETO FCK= 20MPA MOLDADO IN LOCO, USINADO C20, ACABAMENTO CONVENCIONAL, NÃO ARMADO. ESPESSURA DE 7,5CM/5CM</t>
  </si>
  <si>
    <t>Placa dupla de identificação de rua - 0,25 x 0,45m - fornecimento e implantação</t>
  </si>
  <si>
    <t>Suporte metálico galvanizado para identificação de rua - 0,25 x 0,45m - fornecimento e implantação</t>
  </si>
  <si>
    <t>SINALIZAÇÃO HORIZONTAL - FAIXA DE PEDESTRES</t>
  </si>
  <si>
    <t>PINTURA DE FAIXA DE PEDESTRE OU ZEBRADA TINTA RETRORREFLETIVA A BASE DE RESINA ACRÍLICA COM MICROESFERAS DE VIDRO, E = 30 CM, APLICAÇÃO MANUAL</t>
  </si>
  <si>
    <t>Placa em aço com película retrorrefletiva tipo I + I - fornecimento e implantação - Placa de obra</t>
  </si>
  <si>
    <t>Contrapartida</t>
  </si>
  <si>
    <t>RUA JOSÉ MARQUES, RUA VEREADOR FLÁVIO ROCHA, RUA 156 e RUA CRICIÚMA</t>
  </si>
  <si>
    <t>BAIRRO: VILA BEATRIZ</t>
  </si>
  <si>
    <t>CL-01</t>
  </si>
  <si>
    <t>ADULEA</t>
  </si>
  <si>
    <t>RUA JOSÉ MARQUES</t>
  </si>
  <si>
    <t>RUA VEREADOR FLÁVIO ROCHA</t>
  </si>
  <si>
    <t>RUA 156</t>
  </si>
  <si>
    <t>RUA CRICIÚMA</t>
  </si>
  <si>
    <t>6.5</t>
  </si>
  <si>
    <t>6.6</t>
  </si>
  <si>
    <t>6.7</t>
  </si>
  <si>
    <t>6.8</t>
  </si>
  <si>
    <t>Largura média (m)</t>
  </si>
  <si>
    <t>SINAPI 04/24</t>
  </si>
  <si>
    <t>ASSENTAMENTO DE TUBO DE CONCRETO PARA REDES COLETORAS DE ÁGUAS PLUVIAIS, DIÂMETRO DE 1000 MM, JUNTA RÍGIDA, INSTALADO EM LOCAL COM BAIXO NÍVEL DE INTERFERÊNCIAS (NÃO INCLUI FORNECIMENTO)</t>
  </si>
  <si>
    <t>ASSENTAMENTO DE TUBO DE CONCRETO PARA REDES COLETORAS DE ÁGUAS PLUVIAIS, DIÂMETRO DE 400 MM, JUNTA RÍGIDA, INSTALADO EM LOCAL COM BAIXO NÍVEL DE INTERFERÊNCIAS (NÃO INCLUI FORNECIMENTO)</t>
  </si>
  <si>
    <t>ASSENTAMENTO DE TUBO DE CONCRETO PARA REDES COLETORAS DE ÁGUAS PLUVIAIS, DIÂMETRO DE 600 MM, JUNTA RÍGIDA, INSTALADO EM LOCAL COM BAIXO NÍVEL DE INTERFERÊNCIAS (NÃO INCLUI FORNECIMENTO)</t>
  </si>
  <si>
    <t>ASSENTAMENTO DE TUBO DE CONCRETO PARA REDES COLETORAS DE ÁGUAS PLUVIAIS, DIÂMETRO DE 800 MM, JUNTA RÍGIDA, INSTALADO EM LOCAL COM BAIXO NÍVEL DE INTERFERÊNCIAS (NÃO INCLUI FORNECIMENTO)</t>
  </si>
  <si>
    <t>SICRO 04/24</t>
  </si>
  <si>
    <t>ANP 04/24</t>
  </si>
  <si>
    <t>Cálculo para o  valor do transp. adotou-se a fórmula conforme Portaria do DNIT n. 1.977, de 25 de outubro de 2017, publicada no Diário Oficial da União (26,939 + 0,253 x D) =  [(26,939*(567,092/270,237))+(0,253*567,092/270,237)*488] x 1,17=</t>
  </si>
  <si>
    <t>EXECUÇÃO E COMPACTAÇÃO DE BASE E OU SUB BASE PARA PAVIMENTAÇÃO DE PEDRA RACHÃO  - EXCLUSIVE CARGA E TRANSPORTE</t>
  </si>
  <si>
    <t>SUB-BASE EM PEDRA RACHÃO</t>
  </si>
  <si>
    <t>PISO PODOTÁTIL DE ALERTA OU DIRECIONAL, DE CONCRETO, ASSENTADO SOBRE ARGAMASSA</t>
  </si>
  <si>
    <t>1.3</t>
  </si>
  <si>
    <t>1.4</t>
  </si>
  <si>
    <t>1.5</t>
  </si>
  <si>
    <t>1.6</t>
  </si>
  <si>
    <t>1.7</t>
  </si>
  <si>
    <t>DATA BASE DO ORÇAMENTO: 06/2024</t>
  </si>
  <si>
    <t>SINAPI 06/24</t>
  </si>
  <si>
    <t>PREENCHA APENAS AS CÉLULAS EM AMARELO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</si>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</sst>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_-;\-* #,##0_-;_-* &quot;-&quot;??_-;_-@_-"/>
    <numFmt numFmtId="166" formatCode="0.000"/>
    <numFmt numFmtId="167" formatCode="&quot;R$&quot;\ #,##0.00"/>
    <numFmt numFmtId="168" formatCode="[$R$-416]\ #,##0.00;\-[$R$-416]\ #,##0.00"/>
    <numFmt numFmtId="169" formatCode="0.0000"/>
    <numFmt numFmtId="170" formatCode="0.00000"/>
    <numFmt numFmtId="171" formatCode="#,##0.0000"/>
    <numFmt numFmtId="172" formatCode="&quot;R$&quot;0.00"/>
    <numFmt numFmtId="173" formatCode="#,##0.000"/>
    <numFmt numFmtId="174" formatCode="_(* #,##0.00_);_(* \(#,##0.00\);_(* &quot;-&quot;??_);_(@_)"/>
    <numFmt numFmtId="175" formatCode="_(* #,##0_);_(* \(#,##0\);_(* &quot;-&quot;??_);_(@_)"/>
    <numFmt numFmtId="176" formatCode="#,##0_ ;\-#,##0\ "/>
    <numFmt numFmtId="177" formatCode="0.00000000000000"/>
    <numFmt numFmtId="178" formatCode="0.0000000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el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u/>
      <sz val="10"/>
      <color theme="1"/>
      <name val="Arial"/>
      <family val="2"/>
    </font>
    <font>
      <sz val="9"/>
      <color theme="9" tint="-0.249977111117893"/>
      <name val="Arial"/>
      <family val="2"/>
    </font>
    <font>
      <sz val="11"/>
      <color theme="9" tint="-0.249977111117893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sz val="11.5"/>
      <name val="Calibri"/>
      <family val="2"/>
    </font>
    <font>
      <b/>
      <sz val="10"/>
      <color rgb="FFFF0000"/>
      <name val="Calibri"/>
      <family val="2"/>
      <scheme val="minor"/>
    </font>
    <font>
      <sz val="7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sz val="10.5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ourier New"/>
      <family val="3"/>
    </font>
    <font>
      <b/>
      <sz val="2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theme="1"/>
      <name val="Arial"/>
      <family val="2"/>
    </font>
    <font>
      <b/>
      <sz val="16"/>
      <color indexed="81"/>
      <name val="Segoe UI"/>
      <family val="2"/>
    </font>
    <font>
      <b/>
      <sz val="22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Arial"/>
      <family val="2"/>
    </font>
    <font>
      <sz val="8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2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auto="1"/>
      </right>
      <top style="medium">
        <color rgb="FF7030A0"/>
      </top>
      <bottom style="thin">
        <color auto="1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7030A0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rgb="FF7030A0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0" fontId="27" fillId="0" borderId="0"/>
    <xf numFmtId="0" fontId="32" fillId="0" borderId="0"/>
    <xf numFmtId="0" fontId="33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35" fillId="0" borderId="0"/>
    <xf numFmtId="17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49" fillId="0" borderId="0"/>
    <xf numFmtId="17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1018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4" fillId="0" borderId="0" xfId="0" applyFon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44" fontId="0" fillId="0" borderId="8" xfId="0" applyNumberFormat="1" applyBorder="1"/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0" xfId="0" applyFill="1" applyBorder="1"/>
    <xf numFmtId="44" fontId="0" fillId="0" borderId="0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3" fontId="1" fillId="2" borderId="1" xfId="2" applyFont="1" applyFill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Font="1"/>
    <xf numFmtId="164" fontId="0" fillId="0" borderId="0" xfId="0" applyNumberFormat="1" applyAlignment="1">
      <alignment horizontal="center"/>
    </xf>
    <xf numFmtId="44" fontId="0" fillId="0" borderId="0" xfId="0" applyNumberFormat="1" applyAlignment="1">
      <alignment horizontal="center"/>
    </xf>
    <xf numFmtId="10" fontId="0" fillId="0" borderId="0" xfId="3" applyNumberFormat="1" applyFont="1" applyAlignment="1">
      <alignment horizontal="center"/>
    </xf>
    <xf numFmtId="0" fontId="0" fillId="0" borderId="0" xfId="0" applyBorder="1" applyAlignment="1">
      <alignment horizontal="right"/>
    </xf>
    <xf numFmtId="17" fontId="4" fillId="0" borderId="0" xfId="0" applyNumberFormat="1" applyFont="1"/>
    <xf numFmtId="0" fontId="6" fillId="0" borderId="0" xfId="4" applyFont="1"/>
    <xf numFmtId="0" fontId="6" fillId="0" borderId="0" xfId="4" applyFont="1" applyBorder="1" applyAlignment="1">
      <alignment horizontal="center"/>
    </xf>
    <xf numFmtId="0" fontId="6" fillId="0" borderId="0" xfId="4" applyFont="1" applyFill="1"/>
    <xf numFmtId="2" fontId="10" fillId="0" borderId="1" xfId="4" applyNumberFormat="1" applyFont="1" applyFill="1" applyBorder="1" applyAlignment="1">
      <alignment horizontal="center"/>
    </xf>
    <xf numFmtId="0" fontId="13" fillId="0" borderId="0" xfId="0" applyFont="1" applyAlignment="1"/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10" xfId="0" applyFont="1" applyBorder="1"/>
    <xf numFmtId="0" fontId="14" fillId="0" borderId="1" xfId="0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0" fontId="18" fillId="0" borderId="0" xfId="0" applyFont="1"/>
    <xf numFmtId="0" fontId="14" fillId="0" borderId="39" xfId="0" applyFont="1" applyBorder="1"/>
    <xf numFmtId="0" fontId="14" fillId="0" borderId="40" xfId="0" applyFont="1" applyBorder="1" applyAlignment="1">
      <alignment horizontal="center" vertical="center"/>
    </xf>
    <xf numFmtId="10" fontId="14" fillId="0" borderId="25" xfId="3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10" fontId="14" fillId="0" borderId="41" xfId="3" applyNumberFormat="1" applyFont="1" applyBorder="1"/>
    <xf numFmtId="10" fontId="14" fillId="0" borderId="42" xfId="3" applyNumberFormat="1" applyFont="1" applyBorder="1"/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/>
    <xf numFmtId="10" fontId="14" fillId="0" borderId="44" xfId="3" applyNumberFormat="1" applyFont="1" applyBorder="1" applyAlignment="1">
      <alignment horizontal="center" vertical="center"/>
    </xf>
    <xf numFmtId="0" fontId="21" fillId="0" borderId="0" xfId="0" applyFont="1"/>
    <xf numFmtId="0" fontId="14" fillId="0" borderId="5" xfId="0" applyFont="1" applyBorder="1"/>
    <xf numFmtId="0" fontId="14" fillId="0" borderId="0" xfId="0" applyFont="1" applyBorder="1"/>
    <xf numFmtId="0" fontId="14" fillId="0" borderId="6" xfId="0" applyFont="1" applyBorder="1"/>
    <xf numFmtId="0" fontId="22" fillId="0" borderId="0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9" xfId="0" applyFont="1" applyBorder="1"/>
    <xf numFmtId="0" fontId="18" fillId="0" borderId="8" xfId="0" applyFont="1" applyBorder="1"/>
    <xf numFmtId="0" fontId="18" fillId="0" borderId="5" xfId="0" applyFont="1" applyBorder="1"/>
    <xf numFmtId="0" fontId="18" fillId="0" borderId="0" xfId="0" applyFont="1" applyBorder="1"/>
    <xf numFmtId="0" fontId="18" fillId="0" borderId="6" xfId="0" applyFont="1" applyBorder="1"/>
    <xf numFmtId="0" fontId="18" fillId="0" borderId="7" xfId="0" applyFont="1" applyBorder="1" applyAlignment="1"/>
    <xf numFmtId="0" fontId="18" fillId="0" borderId="8" xfId="0" applyFont="1" applyBorder="1" applyAlignment="1"/>
    <xf numFmtId="0" fontId="18" fillId="0" borderId="9" xfId="0" applyFont="1" applyBorder="1" applyAlignment="1"/>
    <xf numFmtId="0" fontId="18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0" fillId="0" borderId="0" xfId="4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4" fontId="0" fillId="0" borderId="0" xfId="0" applyNumberFormat="1" applyFill="1" applyBorder="1" applyAlignment="1">
      <alignment horizontal="left"/>
    </xf>
    <xf numFmtId="4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3" fontId="0" fillId="0" borderId="0" xfId="2" applyNumberFormat="1" applyFont="1" applyFill="1" applyBorder="1" applyAlignment="1">
      <alignment horizontal="right" vertical="center"/>
    </xf>
    <xf numFmtId="164" fontId="0" fillId="0" borderId="0" xfId="0" applyNumberFormat="1"/>
    <xf numFmtId="4" fontId="10" fillId="0" borderId="1" xfId="4" applyNumberFormat="1" applyFont="1" applyFill="1" applyBorder="1" applyAlignment="1">
      <alignment horizontal="center" vertical="center"/>
    </xf>
    <xf numFmtId="9" fontId="0" fillId="4" borderId="1" xfId="3" applyFont="1" applyFill="1" applyBorder="1"/>
    <xf numFmtId="9" fontId="0" fillId="2" borderId="1" xfId="3" applyFont="1" applyFill="1" applyBorder="1"/>
    <xf numFmtId="0" fontId="0" fillId="4" borderId="1" xfId="0" applyFont="1" applyFill="1" applyBorder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right"/>
    </xf>
    <xf numFmtId="171" fontId="0" fillId="0" borderId="0" xfId="0" applyNumberFormat="1"/>
    <xf numFmtId="17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71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0" xfId="0" applyAlignment="1">
      <alignment vertical="center" wrapText="1"/>
    </xf>
    <xf numFmtId="169" fontId="0" fillId="0" borderId="0" xfId="0" applyNumberFormat="1" applyAlignment="1">
      <alignment vertical="center"/>
    </xf>
    <xf numFmtId="0" fontId="30" fillId="2" borderId="0" xfId="0" applyFont="1" applyFill="1" applyBorder="1"/>
    <xf numFmtId="43" fontId="0" fillId="0" borderId="0" xfId="2" applyFont="1"/>
    <xf numFmtId="0" fontId="30" fillId="0" borderId="0" xfId="0" applyFont="1"/>
    <xf numFmtId="44" fontId="0" fillId="0" borderId="0" xfId="0" applyNumberFormat="1"/>
    <xf numFmtId="0" fontId="0" fillId="0" borderId="0" xfId="0" applyAlignment="1">
      <alignment horizontal="center"/>
    </xf>
    <xf numFmtId="0" fontId="6" fillId="0" borderId="0" xfId="11" applyFont="1"/>
    <xf numFmtId="0" fontId="6" fillId="0" borderId="32" xfId="11" applyFont="1" applyFill="1" applyBorder="1"/>
    <xf numFmtId="0" fontId="6" fillId="0" borderId="33" xfId="11" applyFont="1" applyFill="1" applyBorder="1"/>
    <xf numFmtId="0" fontId="6" fillId="0" borderId="21" xfId="11" applyFont="1" applyFill="1" applyBorder="1"/>
    <xf numFmtId="0" fontId="6" fillId="0" borderId="22" xfId="11" applyFont="1" applyFill="1" applyBorder="1"/>
    <xf numFmtId="0" fontId="10" fillId="0" borderId="17" xfId="11" applyFont="1" applyBorder="1" applyAlignment="1">
      <alignment horizontal="center"/>
    </xf>
    <xf numFmtId="0" fontId="10" fillId="0" borderId="0" xfId="11" applyFont="1" applyBorder="1" applyAlignment="1">
      <alignment horizontal="center"/>
    </xf>
    <xf numFmtId="0" fontId="6" fillId="0" borderId="0" xfId="11" applyFont="1" applyBorder="1" applyAlignment="1">
      <alignment horizontal="center"/>
    </xf>
    <xf numFmtId="0" fontId="37" fillId="0" borderId="0" xfId="11" applyFont="1" applyFill="1"/>
    <xf numFmtId="0" fontId="37" fillId="0" borderId="0" xfId="11" applyFont="1"/>
    <xf numFmtId="0" fontId="36" fillId="0" borderId="35" xfId="11" applyFont="1" applyBorder="1" applyAlignment="1">
      <alignment horizontal="center" vertical="center"/>
    </xf>
    <xf numFmtId="0" fontId="6" fillId="0" borderId="0" xfId="11" applyFont="1" applyFill="1"/>
    <xf numFmtId="0" fontId="6" fillId="0" borderId="46" xfId="11" applyFont="1" applyBorder="1"/>
    <xf numFmtId="0" fontId="6" fillId="0" borderId="0" xfId="11" applyFont="1" applyBorder="1"/>
    <xf numFmtId="0" fontId="7" fillId="3" borderId="19" xfId="11" applyFont="1" applyFill="1" applyBorder="1" applyAlignment="1">
      <alignment horizontal="center" vertical="center" wrapText="1"/>
    </xf>
    <xf numFmtId="0" fontId="7" fillId="3" borderId="1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 vertical="center" wrapText="1"/>
    </xf>
    <xf numFmtId="1" fontId="6" fillId="0" borderId="28" xfId="11" applyNumberFormat="1" applyFont="1" applyFill="1" applyBorder="1" applyAlignment="1">
      <alignment horizontal="center" vertical="center"/>
    </xf>
    <xf numFmtId="175" fontId="6" fillId="0" borderId="29" xfId="12" applyNumberFormat="1" applyFont="1" applyFill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2" fontId="6" fillId="0" borderId="29" xfId="13" applyNumberFormat="1" applyFont="1" applyFill="1" applyBorder="1" applyAlignment="1">
      <alignment horizontal="center" vertical="center"/>
    </xf>
    <xf numFmtId="1" fontId="6" fillId="0" borderId="29" xfId="11" applyNumberFormat="1" applyFont="1" applyFill="1" applyBorder="1" applyAlignment="1">
      <alignment horizontal="center" vertical="center"/>
    </xf>
    <xf numFmtId="2" fontId="6" fillId="0" borderId="29" xfId="11" applyNumberFormat="1" applyFont="1" applyFill="1" applyBorder="1" applyAlignment="1">
      <alignment horizontal="center" vertical="center"/>
    </xf>
    <xf numFmtId="0" fontId="6" fillId="0" borderId="29" xfId="11" applyFont="1" applyFill="1" applyBorder="1" applyAlignment="1">
      <alignment horizontal="center"/>
    </xf>
    <xf numFmtId="173" fontId="38" fillId="2" borderId="35" xfId="11" applyNumberFormat="1" applyFont="1" applyFill="1" applyBorder="1" applyAlignment="1">
      <alignment horizontal="center"/>
    </xf>
    <xf numFmtId="0" fontId="6" fillId="0" borderId="31" xfId="11" applyFont="1" applyFill="1" applyBorder="1"/>
    <xf numFmtId="0" fontId="6" fillId="0" borderId="46" xfId="11" applyFont="1" applyFill="1" applyBorder="1"/>
    <xf numFmtId="2" fontId="7" fillId="0" borderId="46" xfId="11" applyNumberFormat="1" applyFont="1" applyFill="1" applyBorder="1" applyAlignment="1">
      <alignment horizontal="left" vertical="center"/>
    </xf>
    <xf numFmtId="4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right" vertical="center"/>
    </xf>
    <xf numFmtId="4" fontId="7" fillId="0" borderId="13" xfId="11" applyNumberFormat="1" applyFont="1" applyFill="1" applyBorder="1" applyAlignment="1">
      <alignment horizontal="center"/>
    </xf>
    <xf numFmtId="0" fontId="7" fillId="3" borderId="27" xfId="11" applyFont="1" applyFill="1" applyBorder="1" applyAlignment="1">
      <alignment horizontal="center" vertical="center" wrapText="1"/>
    </xf>
    <xf numFmtId="0" fontId="39" fillId="3" borderId="45" xfId="11" applyFont="1" applyFill="1" applyBorder="1" applyAlignment="1">
      <alignment horizontal="center" vertical="center" wrapText="1"/>
    </xf>
    <xf numFmtId="169" fontId="38" fillId="0" borderId="35" xfId="11" applyNumberFormat="1" applyFont="1" applyFill="1" applyBorder="1" applyAlignment="1">
      <alignment horizontal="center" vertical="center"/>
    </xf>
    <xf numFmtId="166" fontId="6" fillId="0" borderId="0" xfId="11" applyNumberFormat="1" applyFont="1" applyFill="1"/>
    <xf numFmtId="10" fontId="6" fillId="0" borderId="0" xfId="13" applyNumberFormat="1" applyFont="1" applyFill="1"/>
    <xf numFmtId="2" fontId="7" fillId="0" borderId="33" xfId="11" applyNumberFormat="1" applyFont="1" applyFill="1" applyBorder="1" applyAlignment="1">
      <alignment horizontal="left" vertical="center"/>
    </xf>
    <xf numFmtId="4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right" vertical="center"/>
    </xf>
    <xf numFmtId="4" fontId="41" fillId="0" borderId="24" xfId="11" applyNumberFormat="1" applyFont="1" applyFill="1" applyBorder="1" applyAlignment="1">
      <alignment horizontal="right"/>
    </xf>
    <xf numFmtId="0" fontId="6" fillId="0" borderId="17" xfId="11" applyFont="1" applyFill="1" applyBorder="1"/>
    <xf numFmtId="0" fontId="6" fillId="0" borderId="0" xfId="11" applyFont="1" applyFill="1" applyBorder="1"/>
    <xf numFmtId="2" fontId="7" fillId="0" borderId="0" xfId="11" applyNumberFormat="1" applyFont="1" applyFill="1" applyBorder="1" applyAlignment="1">
      <alignment horizontal="left" vertical="center"/>
    </xf>
    <xf numFmtId="4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right" vertical="center"/>
    </xf>
    <xf numFmtId="4" fontId="7" fillId="0" borderId="18" xfId="11" applyNumberFormat="1" applyFont="1" applyFill="1" applyBorder="1" applyAlignment="1">
      <alignment horizontal="center"/>
    </xf>
    <xf numFmtId="2" fontId="6" fillId="0" borderId="22" xfId="11" applyNumberFormat="1" applyFont="1" applyFill="1" applyBorder="1" applyAlignment="1">
      <alignment horizontal="center" vertical="center"/>
    </xf>
    <xf numFmtId="2" fontId="7" fillId="0" borderId="22" xfId="11" applyNumberFormat="1" applyFont="1" applyFill="1" applyBorder="1" applyAlignment="1">
      <alignment horizontal="center"/>
    </xf>
    <xf numFmtId="10" fontId="6" fillId="0" borderId="23" xfId="11" applyNumberFormat="1" applyFont="1" applyFill="1" applyBorder="1" applyAlignment="1">
      <alignment horizontal="center"/>
    </xf>
    <xf numFmtId="4" fontId="41" fillId="0" borderId="18" xfId="11" applyNumberFormat="1" applyFont="1" applyFill="1" applyBorder="1" applyAlignment="1">
      <alignment horizontal="right"/>
    </xf>
    <xf numFmtId="0" fontId="6" fillId="0" borderId="1" xfId="11" applyFont="1" applyBorder="1" applyAlignment="1">
      <alignment horizontal="center"/>
    </xf>
    <xf numFmtId="4" fontId="6" fillId="0" borderId="1" xfId="11" applyNumberFormat="1" applyFont="1" applyBorder="1" applyAlignment="1">
      <alignment horizontal="center"/>
    </xf>
    <xf numFmtId="173" fontId="6" fillId="0" borderId="1" xfId="11" applyNumberFormat="1" applyFont="1" applyBorder="1" applyAlignment="1">
      <alignment horizontal="center"/>
    </xf>
    <xf numFmtId="0" fontId="6" fillId="0" borderId="0" xfId="11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33" xfId="4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70" fontId="0" fillId="0" borderId="0" xfId="0" applyNumberFormat="1" applyAlignment="1">
      <alignment horizontal="right"/>
    </xf>
    <xf numFmtId="170" fontId="0" fillId="0" borderId="0" xfId="0" applyNumberFormat="1" applyBorder="1" applyAlignment="1">
      <alignment horizontal="center"/>
    </xf>
    <xf numFmtId="170" fontId="0" fillId="0" borderId="0" xfId="0" applyNumberFormat="1" applyAlignment="1">
      <alignment horizontal="center" vertical="center"/>
    </xf>
    <xf numFmtId="2" fontId="0" fillId="0" borderId="8" xfId="0" applyNumberFormat="1" applyBorder="1"/>
    <xf numFmtId="170" fontId="0" fillId="0" borderId="0" xfId="0" applyNumberFormat="1"/>
    <xf numFmtId="170" fontId="0" fillId="0" borderId="8" xfId="0" applyNumberFormat="1" applyBorder="1"/>
    <xf numFmtId="0" fontId="0" fillId="2" borderId="47" xfId="0" applyFont="1" applyFill="1" applyBorder="1" applyAlignment="1">
      <alignment horizontal="center" vertical="center"/>
    </xf>
    <xf numFmtId="0" fontId="0" fillId="0" borderId="11" xfId="0" applyBorder="1" applyAlignment="1">
      <alignment horizontal="right"/>
    </xf>
    <xf numFmtId="170" fontId="0" fillId="0" borderId="0" xfId="0" applyNumberFormat="1" applyAlignment="1">
      <alignment vertical="center"/>
    </xf>
    <xf numFmtId="169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28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0" fontId="43" fillId="0" borderId="0" xfId="0" applyFont="1"/>
    <xf numFmtId="0" fontId="43" fillId="0" borderId="0" xfId="0" applyFont="1" applyBorder="1"/>
    <xf numFmtId="0" fontId="44" fillId="0" borderId="0" xfId="0" applyFont="1"/>
    <xf numFmtId="0" fontId="43" fillId="0" borderId="0" xfId="0" applyFont="1" applyAlignment="1">
      <alignment vertical="center" wrapText="1"/>
    </xf>
    <xf numFmtId="0" fontId="44" fillId="0" borderId="0" xfId="0" applyFont="1" applyAlignment="1">
      <alignment wrapText="1"/>
    </xf>
    <xf numFmtId="0" fontId="14" fillId="0" borderId="42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0" fontId="14" fillId="0" borderId="30" xfId="3" applyNumberFormat="1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11" xfId="0" applyBorder="1" applyAlignment="1">
      <alignment horizontal="right"/>
    </xf>
    <xf numFmtId="0" fontId="45" fillId="0" borderId="0" xfId="0" applyFont="1" applyBorder="1"/>
    <xf numFmtId="170" fontId="45" fillId="0" borderId="0" xfId="0" applyNumberFormat="1" applyFont="1" applyAlignment="1">
      <alignment horizontal="center"/>
    </xf>
    <xf numFmtId="0" fontId="45" fillId="0" borderId="0" xfId="0" applyFont="1" applyBorder="1" applyAlignment="1">
      <alignment horizontal="center"/>
    </xf>
    <xf numFmtId="0" fontId="45" fillId="0" borderId="0" xfId="0" applyFont="1"/>
    <xf numFmtId="169" fontId="0" fillId="0" borderId="0" xfId="0" applyNumberFormat="1" applyBorder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5" fillId="0" borderId="0" xfId="0" applyNumberFormat="1" applyFont="1" applyBorder="1" applyAlignment="1">
      <alignment horizontal="center"/>
    </xf>
    <xf numFmtId="0" fontId="45" fillId="6" borderId="0" xfId="0" applyFont="1" applyFill="1" applyBorder="1"/>
    <xf numFmtId="170" fontId="45" fillId="6" borderId="0" xfId="0" applyNumberFormat="1" applyFont="1" applyFill="1" applyBorder="1" applyAlignment="1">
      <alignment horizontal="center"/>
    </xf>
    <xf numFmtId="0" fontId="45" fillId="6" borderId="0" xfId="0" applyFont="1" applyFill="1" applyBorder="1" applyAlignment="1">
      <alignment horizontal="center"/>
    </xf>
    <xf numFmtId="0" fontId="45" fillId="6" borderId="0" xfId="0" applyFont="1" applyFill="1"/>
    <xf numFmtId="0" fontId="4" fillId="0" borderId="0" xfId="0" applyFont="1" applyAlignment="1">
      <alignment horizontal="right"/>
    </xf>
    <xf numFmtId="0" fontId="46" fillId="0" borderId="0" xfId="0" applyFont="1" applyBorder="1"/>
    <xf numFmtId="0" fontId="46" fillId="0" borderId="0" xfId="0" applyFont="1" applyBorder="1" applyAlignment="1">
      <alignment horizontal="center"/>
    </xf>
    <xf numFmtId="0" fontId="46" fillId="0" borderId="0" xfId="0" applyFont="1" applyBorder="1" applyAlignment="1">
      <alignment horizontal="left"/>
    </xf>
    <xf numFmtId="44" fontId="46" fillId="0" borderId="0" xfId="1" applyFont="1" applyBorder="1" applyAlignment="1">
      <alignment horizontal="center"/>
    </xf>
    <xf numFmtId="0" fontId="46" fillId="4" borderId="1" xfId="0" applyFont="1" applyFill="1" applyBorder="1" applyAlignment="1">
      <alignment vertical="center"/>
    </xf>
    <xf numFmtId="10" fontId="46" fillId="4" borderId="1" xfId="3" applyNumberFormat="1" applyFont="1" applyFill="1" applyBorder="1" applyAlignment="1">
      <alignment vertical="center"/>
    </xf>
    <xf numFmtId="43" fontId="46" fillId="4" borderId="1" xfId="2" applyNumberFormat="1" applyFont="1" applyFill="1" applyBorder="1" applyAlignment="1">
      <alignment vertical="center"/>
    </xf>
    <xf numFmtId="0" fontId="48" fillId="4" borderId="1" xfId="0" applyFont="1" applyFill="1" applyBorder="1" applyAlignment="1">
      <alignment vertical="center" wrapText="1"/>
    </xf>
    <xf numFmtId="0" fontId="48" fillId="4" borderId="1" xfId="0" applyFont="1" applyFill="1" applyBorder="1" applyAlignment="1">
      <alignment vertical="center"/>
    </xf>
    <xf numFmtId="43" fontId="48" fillId="4" borderId="1" xfId="2" applyNumberFormat="1" applyFont="1" applyFill="1" applyBorder="1" applyAlignment="1">
      <alignment vertical="center"/>
    </xf>
    <xf numFmtId="0" fontId="46" fillId="0" borderId="0" xfId="0" applyFont="1" applyFill="1" applyBorder="1"/>
    <xf numFmtId="1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6" fillId="0" borderId="5" xfId="0" applyFont="1" applyBorder="1"/>
    <xf numFmtId="0" fontId="46" fillId="0" borderId="6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/>
    </xf>
    <xf numFmtId="0" fontId="43" fillId="0" borderId="54" xfId="0" applyFont="1" applyFill="1" applyBorder="1" applyAlignment="1">
      <alignment horizontal="center"/>
    </xf>
    <xf numFmtId="0" fontId="43" fillId="0" borderId="55" xfId="0" applyFont="1" applyFill="1" applyBorder="1" applyAlignment="1">
      <alignment horizontal="center"/>
    </xf>
    <xf numFmtId="166" fontId="43" fillId="0" borderId="58" xfId="0" applyNumberFormat="1" applyFont="1" applyFill="1" applyBorder="1" applyAlignment="1">
      <alignment horizontal="center"/>
    </xf>
    <xf numFmtId="166" fontId="43" fillId="0" borderId="54" xfId="0" applyNumberFormat="1" applyFont="1" applyFill="1" applyBorder="1" applyAlignment="1">
      <alignment horizontal="center"/>
    </xf>
    <xf numFmtId="166" fontId="43" fillId="0" borderId="47" xfId="0" applyNumberFormat="1" applyFont="1" applyFill="1" applyBorder="1" applyAlignment="1">
      <alignment horizontal="center"/>
    </xf>
    <xf numFmtId="166" fontId="43" fillId="0" borderId="57" xfId="0" applyNumberFormat="1" applyFont="1" applyFill="1" applyBorder="1" applyAlignment="1">
      <alignment horizontal="center"/>
    </xf>
    <xf numFmtId="0" fontId="43" fillId="0" borderId="3" xfId="0" applyFont="1" applyBorder="1" applyAlignment="1">
      <alignment horizontal="center"/>
    </xf>
    <xf numFmtId="166" fontId="43" fillId="0" borderId="3" xfId="0" applyNumberFormat="1" applyFont="1" applyBorder="1" applyAlignment="1">
      <alignment horizontal="center"/>
    </xf>
    <xf numFmtId="173" fontId="43" fillId="0" borderId="1" xfId="0" applyNumberFormat="1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166" fontId="43" fillId="0" borderId="0" xfId="0" applyNumberFormat="1" applyFont="1" applyBorder="1" applyAlignment="1">
      <alignment horizontal="center"/>
    </xf>
    <xf numFmtId="173" fontId="43" fillId="0" borderId="0" xfId="0" applyNumberFormat="1" applyFont="1" applyBorder="1" applyAlignment="1">
      <alignment horizontal="center"/>
    </xf>
    <xf numFmtId="0" fontId="38" fillId="0" borderId="0" xfId="4" applyFont="1"/>
    <xf numFmtId="2" fontId="38" fillId="0" borderId="0" xfId="4" applyNumberFormat="1" applyFont="1"/>
    <xf numFmtId="0" fontId="38" fillId="0" borderId="0" xfId="4" applyFont="1" applyFill="1"/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6" fillId="0" borderId="0" xfId="19" applyFont="1"/>
    <xf numFmtId="0" fontId="52" fillId="0" borderId="0" xfId="19" applyFont="1"/>
    <xf numFmtId="0" fontId="52" fillId="0" borderId="5" xfId="19" applyFont="1" applyBorder="1" applyAlignment="1">
      <alignment horizontal="right" vertical="center"/>
    </xf>
    <xf numFmtId="0" fontId="52" fillId="9" borderId="0" xfId="19" applyFont="1" applyFill="1" applyBorder="1" applyAlignment="1" applyProtection="1">
      <alignment horizontal="center" vertical="center"/>
      <protection locked="0"/>
    </xf>
    <xf numFmtId="0" fontId="52" fillId="0" borderId="6" xfId="19" applyFont="1" applyBorder="1" applyAlignment="1">
      <alignment vertical="center"/>
    </xf>
    <xf numFmtId="0" fontId="52" fillId="0" borderId="10" xfId="19" applyFont="1" applyBorder="1" applyAlignment="1">
      <alignment horizontal="right" vertical="center"/>
    </xf>
    <xf numFmtId="0" fontId="52" fillId="9" borderId="12" xfId="19" applyFont="1" applyFill="1" applyBorder="1" applyAlignment="1" applyProtection="1">
      <alignment horizontal="left" vertical="center"/>
      <protection locked="0"/>
    </xf>
    <xf numFmtId="0" fontId="52" fillId="0" borderId="0" xfId="19" applyFont="1" applyBorder="1" applyAlignment="1">
      <alignment horizontal="right" vertical="center"/>
    </xf>
    <xf numFmtId="2" fontId="52" fillId="9" borderId="6" xfId="19" applyNumberFormat="1" applyFont="1" applyFill="1" applyBorder="1" applyAlignment="1" applyProtection="1">
      <alignment horizontal="left" vertical="center"/>
      <protection locked="0"/>
    </xf>
    <xf numFmtId="0" fontId="52" fillId="9" borderId="6" xfId="19" applyFont="1" applyFill="1" applyBorder="1" applyAlignment="1" applyProtection="1">
      <alignment horizontal="left" vertical="center"/>
      <protection locked="0"/>
    </xf>
    <xf numFmtId="0" fontId="52" fillId="10" borderId="0" xfId="19" applyFont="1" applyFill="1" applyBorder="1" applyAlignment="1">
      <alignment horizontal="left" vertical="center"/>
    </xf>
    <xf numFmtId="0" fontId="52" fillId="10" borderId="12" xfId="19" applyFont="1" applyFill="1" applyBorder="1" applyAlignment="1">
      <alignment horizontal="left" vertical="center"/>
    </xf>
    <xf numFmtId="0" fontId="52" fillId="0" borderId="0" xfId="19" applyFont="1" applyBorder="1" applyAlignment="1">
      <alignment vertical="center"/>
    </xf>
    <xf numFmtId="0" fontId="51" fillId="0" borderId="0" xfId="19" applyFont="1" applyAlignment="1">
      <alignment horizontal="center" wrapText="1"/>
    </xf>
    <xf numFmtId="0" fontId="51" fillId="0" borderId="0" xfId="19" applyFont="1" applyAlignment="1">
      <alignment horizontal="center" vertical="center" wrapText="1"/>
    </xf>
    <xf numFmtId="0" fontId="52" fillId="0" borderId="0" xfId="19" applyFont="1" applyAlignment="1">
      <alignment horizontal="center"/>
    </xf>
    <xf numFmtId="1" fontId="12" fillId="2" borderId="1" xfId="19" applyNumberFormat="1" applyFont="1" applyFill="1" applyBorder="1" applyAlignment="1" applyProtection="1">
      <alignment horizontal="center" vertical="center"/>
      <protection locked="0"/>
    </xf>
    <xf numFmtId="4" fontId="12" fillId="2" borderId="1" xfId="19" applyNumberFormat="1" applyFont="1" applyFill="1" applyBorder="1" applyAlignment="1" applyProtection="1">
      <alignment horizontal="center" vertical="center"/>
      <protection locked="0"/>
    </xf>
    <xf numFmtId="173" fontId="12" fillId="2" borderId="1" xfId="19" applyNumberFormat="1" applyFont="1" applyFill="1" applyBorder="1" applyAlignment="1">
      <alignment horizontal="center" vertical="center"/>
    </xf>
    <xf numFmtId="166" fontId="12" fillId="2" borderId="1" xfId="19" applyNumberFormat="1" applyFont="1" applyFill="1" applyBorder="1" applyAlignment="1" applyProtection="1">
      <alignment horizontal="center" vertical="center"/>
      <protection locked="0"/>
    </xf>
    <xf numFmtId="166" fontId="12" fillId="2" borderId="1" xfId="19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 applyProtection="1">
      <alignment horizontal="center" vertical="center"/>
      <protection locked="0"/>
    </xf>
    <xf numFmtId="166" fontId="53" fillId="2" borderId="1" xfId="19" applyNumberFormat="1" applyFont="1" applyFill="1" applyBorder="1" applyAlignment="1">
      <alignment horizontal="center" vertical="center"/>
    </xf>
    <xf numFmtId="1" fontId="54" fillId="2" borderId="1" xfId="19" applyNumberFormat="1" applyFont="1" applyFill="1" applyBorder="1" applyAlignment="1" applyProtection="1">
      <alignment horizontal="center" vertical="center"/>
      <protection locked="0"/>
    </xf>
    <xf numFmtId="2" fontId="12" fillId="2" borderId="1" xfId="19" applyNumberFormat="1" applyFont="1" applyFill="1" applyBorder="1" applyAlignment="1">
      <alignment horizontal="center" vertical="center"/>
    </xf>
    <xf numFmtId="2" fontId="12" fillId="2" borderId="1" xfId="19" applyNumberFormat="1" applyFont="1" applyFill="1" applyBorder="1" applyAlignment="1" applyProtection="1">
      <alignment horizontal="center" vertical="center"/>
      <protection locked="0"/>
    </xf>
    <xf numFmtId="1" fontId="12" fillId="2" borderId="1" xfId="19" applyNumberFormat="1" applyFont="1" applyFill="1" applyBorder="1" applyAlignment="1">
      <alignment horizontal="center" vertical="center"/>
    </xf>
    <xf numFmtId="2" fontId="12" fillId="2" borderId="1" xfId="20" applyNumberFormat="1" applyFont="1" applyFill="1" applyBorder="1" applyAlignment="1" applyProtection="1">
      <alignment horizontal="center" vertical="center"/>
      <protection locked="0"/>
    </xf>
    <xf numFmtId="2" fontId="10" fillId="0" borderId="10" xfId="4" applyNumberFormat="1" applyFont="1" applyFill="1" applyBorder="1" applyAlignment="1">
      <alignment horizontal="right" vertical="center"/>
    </xf>
    <xf numFmtId="4" fontId="10" fillId="0" borderId="1" xfId="4" applyNumberFormat="1" applyFont="1" applyFill="1" applyBorder="1" applyAlignment="1">
      <alignment horizontal="center"/>
    </xf>
    <xf numFmtId="2" fontId="12" fillId="0" borderId="1" xfId="19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169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1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/>
    </xf>
    <xf numFmtId="3" fontId="10" fillId="0" borderId="1" xfId="18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17" fontId="0" fillId="0" borderId="11" xfId="0" applyNumberFormat="1" applyFont="1" applyFill="1" applyBorder="1" applyAlignment="1">
      <alignment horizontal="left" vertical="top" wrapText="1"/>
    </xf>
    <xf numFmtId="0" fontId="0" fillId="2" borderId="10" xfId="0" applyFont="1" applyFill="1" applyBorder="1"/>
    <xf numFmtId="0" fontId="0" fillId="2" borderId="11" xfId="0" applyFont="1" applyFill="1" applyBorder="1"/>
    <xf numFmtId="10" fontId="0" fillId="4" borderId="1" xfId="0" applyNumberFormat="1" applyFont="1" applyFill="1" applyBorder="1"/>
    <xf numFmtId="10" fontId="1" fillId="2" borderId="1" xfId="2" applyNumberFormat="1" applyFont="1" applyFill="1" applyBorder="1"/>
    <xf numFmtId="0" fontId="43" fillId="0" borderId="2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66" fontId="43" fillId="0" borderId="6" xfId="0" applyNumberFormat="1" applyFont="1" applyBorder="1" applyAlignment="1">
      <alignment horizontal="center"/>
    </xf>
    <xf numFmtId="0" fontId="43" fillId="0" borderId="6" xfId="0" applyFont="1" applyBorder="1"/>
    <xf numFmtId="166" fontId="43" fillId="0" borderId="55" xfId="0" applyNumberFormat="1" applyFont="1" applyFill="1" applyBorder="1" applyAlignment="1">
      <alignment horizontal="center"/>
    </xf>
    <xf numFmtId="2" fontId="10" fillId="0" borderId="11" xfId="4" applyNumberFormat="1" applyFont="1" applyFill="1" applyBorder="1" applyAlignment="1">
      <alignment horizontal="center" vertical="center"/>
    </xf>
    <xf numFmtId="1" fontId="10" fillId="0" borderId="0" xfId="4" applyNumberFormat="1" applyFont="1" applyFill="1" applyBorder="1" applyAlignment="1">
      <alignment horizontal="center" vertical="center"/>
    </xf>
    <xf numFmtId="2" fontId="10" fillId="0" borderId="0" xfId="4" applyNumberFormat="1" applyFont="1" applyFill="1" applyBorder="1" applyAlignment="1">
      <alignment horizontal="center" vertical="center"/>
    </xf>
    <xf numFmtId="1" fontId="10" fillId="0" borderId="1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2" fontId="42" fillId="0" borderId="0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0" fontId="10" fillId="0" borderId="0" xfId="4" applyNumberFormat="1" applyFont="1" applyFill="1" applyBorder="1" applyAlignment="1">
      <alignment horizontal="center"/>
    </xf>
    <xf numFmtId="1" fontId="10" fillId="2" borderId="0" xfId="4" applyNumberFormat="1" applyFont="1" applyFill="1" applyBorder="1" applyAlignment="1">
      <alignment horizontal="center" vertical="center"/>
    </xf>
    <xf numFmtId="166" fontId="10" fillId="2" borderId="0" xfId="4" applyNumberFormat="1" applyFont="1" applyFill="1" applyBorder="1" applyAlignment="1">
      <alignment horizontal="center" vertical="center"/>
    </xf>
    <xf numFmtId="166" fontId="10" fillId="2" borderId="0" xfId="5" applyNumberFormat="1" applyFont="1" applyFill="1" applyBorder="1" applyAlignment="1">
      <alignment horizontal="center" vertical="center"/>
    </xf>
    <xf numFmtId="166" fontId="10" fillId="0" borderId="0" xfId="4" applyNumberFormat="1" applyFont="1" applyFill="1" applyBorder="1" applyAlignment="1">
      <alignment horizontal="center"/>
    </xf>
    <xf numFmtId="2" fontId="12" fillId="2" borderId="0" xfId="19" applyNumberFormat="1" applyFont="1" applyFill="1" applyBorder="1" applyAlignment="1" applyProtection="1">
      <alignment horizontal="center" vertical="center"/>
      <protection locked="0"/>
    </xf>
    <xf numFmtId="2" fontId="10" fillId="0" borderId="3" xfId="4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right" vertical="center"/>
    </xf>
    <xf numFmtId="44" fontId="1" fillId="0" borderId="0" xfId="1" applyFont="1" applyFill="1" applyBorder="1" applyAlignment="1">
      <alignment horizontal="right" vertic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7" fillId="0" borderId="1" xfId="6" applyFont="1" applyBorder="1" applyAlignment="1">
      <alignment horizontal="center" vertical="center"/>
    </xf>
    <xf numFmtId="0" fontId="6" fillId="0" borderId="0" xfId="18" applyFont="1"/>
    <xf numFmtId="0" fontId="10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4" fontId="10" fillId="0" borderId="1" xfId="18" applyNumberFormat="1" applyFont="1" applyFill="1" applyBorder="1" applyAlignment="1">
      <alignment horizontal="center" vertical="center"/>
    </xf>
    <xf numFmtId="0" fontId="6" fillId="0" borderId="0" xfId="18" applyFont="1" applyFill="1"/>
    <xf numFmtId="4" fontId="6" fillId="0" borderId="0" xfId="4" applyNumberFormat="1" applyFont="1" applyFill="1"/>
    <xf numFmtId="0" fontId="28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44" fontId="48" fillId="4" borderId="1" xfId="1" applyFont="1" applyFill="1" applyBorder="1" applyAlignment="1">
      <alignment vertical="center"/>
    </xf>
    <xf numFmtId="43" fontId="4" fillId="0" borderId="0" xfId="2" applyFont="1"/>
    <xf numFmtId="0" fontId="0" fillId="0" borderId="3" xfId="0" applyBorder="1" applyAlignment="1">
      <alignment horizontal="center"/>
    </xf>
    <xf numFmtId="0" fontId="12" fillId="3" borderId="1" xfId="19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17" fontId="11" fillId="0" borderId="1" xfId="18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/>
    </xf>
    <xf numFmtId="166" fontId="43" fillId="0" borderId="56" xfId="0" applyNumberFormat="1" applyFont="1" applyFill="1" applyBorder="1" applyAlignment="1">
      <alignment horizontal="center"/>
    </xf>
    <xf numFmtId="1" fontId="10" fillId="0" borderId="12" xfId="4" applyNumberFormat="1" applyFont="1" applyFill="1" applyBorder="1" applyAlignment="1">
      <alignment horizontal="center" vertical="center"/>
    </xf>
    <xf numFmtId="0" fontId="52" fillId="0" borderId="0" xfId="19" applyFont="1" applyBorder="1"/>
    <xf numFmtId="0" fontId="52" fillId="0" borderId="5" xfId="19" applyFont="1" applyBorder="1"/>
    <xf numFmtId="14" fontId="6" fillId="0" borderId="0" xfId="4" applyNumberFormat="1" applyFont="1" applyFill="1"/>
    <xf numFmtId="14" fontId="7" fillId="0" borderId="1" xfId="6" applyNumberFormat="1" applyFont="1" applyBorder="1" applyAlignment="1">
      <alignment horizontal="center" vertical="center"/>
    </xf>
    <xf numFmtId="14" fontId="11" fillId="0" borderId="1" xfId="18" applyNumberFormat="1" applyFont="1" applyBorder="1" applyAlignment="1">
      <alignment horizontal="center" vertical="center"/>
    </xf>
    <xf numFmtId="173" fontId="10" fillId="0" borderId="1" xfId="4" applyNumberFormat="1" applyFont="1" applyFill="1" applyBorder="1" applyAlignment="1">
      <alignment horizontal="center"/>
    </xf>
    <xf numFmtId="14" fontId="11" fillId="0" borderId="1" xfId="6" applyNumberFormat="1" applyFont="1" applyBorder="1" applyAlignment="1">
      <alignment horizontal="center" vertical="center"/>
    </xf>
    <xf numFmtId="0" fontId="10" fillId="0" borderId="5" xfId="4" applyFont="1" applyBorder="1" applyAlignment="1">
      <alignment horizontal="center"/>
    </xf>
    <xf numFmtId="0" fontId="6" fillId="0" borderId="6" xfId="4" applyFont="1" applyBorder="1" applyAlignment="1">
      <alignment horizontal="center"/>
    </xf>
    <xf numFmtId="1" fontId="10" fillId="0" borderId="5" xfId="4" applyNumberFormat="1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/>
    </xf>
    <xf numFmtId="0" fontId="43" fillId="0" borderId="0" xfId="0" applyFont="1" applyFill="1"/>
    <xf numFmtId="0" fontId="0" fillId="0" borderId="0" xfId="0" applyFont="1" applyBorder="1"/>
    <xf numFmtId="0" fontId="52" fillId="0" borderId="10" xfId="0" applyFont="1" applyBorder="1" applyAlignment="1">
      <alignment horizontal="left"/>
    </xf>
    <xf numFmtId="0" fontId="52" fillId="0" borderId="11" xfId="0" applyFont="1" applyBorder="1" applyAlignment="1">
      <alignment horizontal="left"/>
    </xf>
    <xf numFmtId="0" fontId="52" fillId="0" borderId="11" xfId="0" applyFont="1" applyBorder="1" applyAlignment="1">
      <alignment horizontal="right"/>
    </xf>
    <xf numFmtId="0" fontId="52" fillId="0" borderId="12" xfId="0" applyFont="1" applyBorder="1" applyAlignment="1">
      <alignment horizontal="right"/>
    </xf>
    <xf numFmtId="0" fontId="57" fillId="0" borderId="1" xfId="0" applyFont="1" applyBorder="1" applyAlignment="1">
      <alignment horizontal="left" vertical="center" wrapText="1"/>
    </xf>
    <xf numFmtId="2" fontId="57" fillId="0" borderId="1" xfId="0" applyNumberFormat="1" applyFont="1" applyBorder="1" applyAlignment="1">
      <alignment horizontal="left" vertical="center" wrapText="1"/>
    </xf>
    <xf numFmtId="2" fontId="57" fillId="0" borderId="1" xfId="0" applyNumberFormat="1" applyFont="1" applyBorder="1" applyAlignment="1">
      <alignment horizontal="right" vertical="center" wrapText="1"/>
    </xf>
    <xf numFmtId="0" fontId="52" fillId="0" borderId="5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right" vertical="center" wrapText="1"/>
    </xf>
    <xf numFmtId="0" fontId="55" fillId="0" borderId="7" xfId="0" applyFont="1" applyBorder="1"/>
    <xf numFmtId="0" fontId="55" fillId="0" borderId="0" xfId="0" applyFont="1" applyBorder="1"/>
    <xf numFmtId="0" fontId="55" fillId="0" borderId="6" xfId="0" applyFont="1" applyBorder="1"/>
    <xf numFmtId="0" fontId="57" fillId="0" borderId="1" xfId="0" applyFont="1" applyBorder="1" applyAlignment="1">
      <alignment horizontal="right" vertical="center" wrapText="1"/>
    </xf>
    <xf numFmtId="0" fontId="55" fillId="0" borderId="0" xfId="0" applyFont="1"/>
    <xf numFmtId="0" fontId="6" fillId="0" borderId="0" xfId="18" applyFont="1" applyBorder="1"/>
    <xf numFmtId="3" fontId="10" fillId="0" borderId="1" xfId="18" applyNumberFormat="1" applyFont="1" applyFill="1" applyBorder="1" applyAlignment="1">
      <alignment horizontal="center"/>
    </xf>
    <xf numFmtId="4" fontId="10" fillId="0" borderId="1" xfId="18" applyNumberFormat="1" applyFont="1" applyFill="1" applyBorder="1" applyAlignment="1">
      <alignment horizontal="center"/>
    </xf>
    <xf numFmtId="0" fontId="10" fillId="0" borderId="5" xfId="18" applyFont="1" applyBorder="1" applyAlignment="1">
      <alignment horizontal="center"/>
    </xf>
    <xf numFmtId="0" fontId="6" fillId="0" borderId="6" xfId="18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/>
    <xf numFmtId="0" fontId="0" fillId="2" borderId="54" xfId="0" applyFont="1" applyFill="1" applyBorder="1" applyAlignment="1">
      <alignment horizontal="center" vertical="center"/>
    </xf>
    <xf numFmtId="0" fontId="0" fillId="2" borderId="62" xfId="0" applyFont="1" applyFill="1" applyBorder="1" applyAlignment="1">
      <alignment horizontal="center" vertical="center"/>
    </xf>
    <xf numFmtId="17" fontId="31" fillId="2" borderId="1" xfId="0" applyNumberFormat="1" applyFont="1" applyFill="1" applyBorder="1" applyAlignment="1">
      <alignment horizontal="center" vertical="center"/>
    </xf>
    <xf numFmtId="17" fontId="30" fillId="2" borderId="0" xfId="0" applyNumberFormat="1" applyFont="1" applyFill="1" applyBorder="1"/>
    <xf numFmtId="17" fontId="30" fillId="2" borderId="5" xfId="0" applyNumberFormat="1" applyFont="1" applyFill="1" applyBorder="1"/>
    <xf numFmtId="170" fontId="30" fillId="2" borderId="6" xfId="0" applyNumberFormat="1" applyFont="1" applyFill="1" applyBorder="1"/>
    <xf numFmtId="170" fontId="30" fillId="2" borderId="25" xfId="0" applyNumberFormat="1" applyFont="1" applyFill="1" applyBorder="1" applyAlignment="1"/>
    <xf numFmtId="170" fontId="30" fillId="2" borderId="59" xfId="0" applyNumberFormat="1" applyFont="1" applyFill="1" applyBorder="1" applyAlignment="1"/>
    <xf numFmtId="170" fontId="30" fillId="2" borderId="30" xfId="0" applyNumberFormat="1" applyFont="1" applyFill="1" applyBorder="1" applyAlignment="1"/>
    <xf numFmtId="0" fontId="0" fillId="2" borderId="75" xfId="0" applyFont="1" applyFill="1" applyBorder="1" applyAlignment="1">
      <alignment horizontal="center"/>
    </xf>
    <xf numFmtId="0" fontId="0" fillId="2" borderId="76" xfId="0" applyFont="1" applyFill="1" applyBorder="1" applyAlignment="1">
      <alignment horizontal="left"/>
    </xf>
    <xf numFmtId="0" fontId="0" fillId="2" borderId="76" xfId="0" applyFont="1" applyFill="1" applyBorder="1"/>
    <xf numFmtId="44" fontId="1" fillId="2" borderId="76" xfId="1" applyFont="1" applyFill="1" applyBorder="1"/>
    <xf numFmtId="44" fontId="0" fillId="2" borderId="76" xfId="0" applyNumberFormat="1" applyFont="1" applyFill="1" applyBorder="1" applyAlignment="1">
      <alignment horizontal="center"/>
    </xf>
    <xf numFmtId="0" fontId="0" fillId="2" borderId="78" xfId="0" applyFont="1" applyFill="1" applyBorder="1" applyAlignment="1">
      <alignment horizontal="center"/>
    </xf>
    <xf numFmtId="0" fontId="0" fillId="2" borderId="79" xfId="0" applyFont="1" applyFill="1" applyBorder="1" applyAlignment="1">
      <alignment horizontal="left"/>
    </xf>
    <xf numFmtId="0" fontId="0" fillId="2" borderId="79" xfId="0" applyFont="1" applyFill="1" applyBorder="1"/>
    <xf numFmtId="44" fontId="0" fillId="2" borderId="79" xfId="0" applyNumberFormat="1" applyFont="1" applyFill="1" applyBorder="1"/>
    <xf numFmtId="44" fontId="0" fillId="2" borderId="79" xfId="0" applyNumberFormat="1" applyFont="1" applyFill="1" applyBorder="1" applyAlignment="1">
      <alignment horizontal="center"/>
    </xf>
    <xf numFmtId="44" fontId="1" fillId="2" borderId="79" xfId="1" applyFont="1" applyFill="1" applyBorder="1"/>
    <xf numFmtId="43" fontId="1" fillId="2" borderId="79" xfId="2" applyFont="1" applyFill="1" applyBorder="1"/>
    <xf numFmtId="0" fontId="0" fillId="2" borderId="79" xfId="0" applyFont="1" applyFill="1" applyBorder="1" applyAlignment="1">
      <alignment horizontal="left" wrapText="1"/>
    </xf>
    <xf numFmtId="2" fontId="0" fillId="2" borderId="79" xfId="0" applyNumberFormat="1" applyFont="1" applyFill="1" applyBorder="1"/>
    <xf numFmtId="0" fontId="0" fillId="2" borderId="79" xfId="0" applyFont="1" applyFill="1" applyBorder="1" applyAlignment="1">
      <alignment horizontal="center"/>
    </xf>
    <xf numFmtId="0" fontId="0" fillId="2" borderId="80" xfId="0" applyFont="1" applyFill="1" applyBorder="1" applyAlignment="1">
      <alignment horizontal="center"/>
    </xf>
    <xf numFmtId="0" fontId="0" fillId="2" borderId="79" xfId="0" applyFont="1" applyFill="1" applyBorder="1" applyAlignment="1">
      <alignment wrapText="1"/>
    </xf>
    <xf numFmtId="165" fontId="1" fillId="2" borderId="80" xfId="2" applyNumberFormat="1" applyFont="1" applyFill="1" applyBorder="1" applyAlignment="1">
      <alignment horizontal="right"/>
    </xf>
    <xf numFmtId="165" fontId="1" fillId="2" borderId="80" xfId="2" applyNumberFormat="1" applyFont="1" applyFill="1" applyBorder="1" applyAlignment="1">
      <alignment horizontal="center"/>
    </xf>
    <xf numFmtId="0" fontId="0" fillId="2" borderId="79" xfId="0" applyFont="1" applyFill="1" applyBorder="1" applyAlignment="1">
      <alignment horizontal="center" wrapText="1"/>
    </xf>
    <xf numFmtId="3" fontId="0" fillId="2" borderId="80" xfId="0" applyNumberFormat="1" applyFont="1" applyFill="1" applyBorder="1" applyAlignment="1">
      <alignment horizontal="right"/>
    </xf>
    <xf numFmtId="0" fontId="0" fillId="2" borderId="80" xfId="0" applyFont="1" applyFill="1" applyBorder="1" applyAlignment="1">
      <alignment horizontal="right"/>
    </xf>
    <xf numFmtId="0" fontId="0" fillId="2" borderId="81" xfId="0" applyFont="1" applyFill="1" applyBorder="1" applyAlignment="1">
      <alignment horizontal="center"/>
    </xf>
    <xf numFmtId="0" fontId="5" fillId="2" borderId="82" xfId="0" applyFont="1" applyFill="1" applyBorder="1"/>
    <xf numFmtId="0" fontId="0" fillId="2" borderId="82" xfId="0" applyFont="1" applyFill="1" applyBorder="1"/>
    <xf numFmtId="43" fontId="1" fillId="2" borderId="82" xfId="2" applyFont="1" applyFill="1" applyBorder="1"/>
    <xf numFmtId="44" fontId="1" fillId="2" borderId="82" xfId="1" applyFont="1" applyFill="1" applyBorder="1"/>
    <xf numFmtId="0" fontId="55" fillId="0" borderId="0" xfId="0" applyFont="1" applyFill="1" applyBorder="1" applyAlignment="1">
      <alignment horizontal="center"/>
    </xf>
    <xf numFmtId="0" fontId="55" fillId="0" borderId="0" xfId="0" applyFont="1" applyAlignment="1">
      <alignment horizontal="left"/>
    </xf>
    <xf numFmtId="165" fontId="46" fillId="4" borderId="1" xfId="2" applyNumberFormat="1" applyFont="1" applyFill="1" applyBorder="1" applyAlignment="1">
      <alignment horizontal="right" vertical="center"/>
    </xf>
    <xf numFmtId="165" fontId="46" fillId="4" borderId="1" xfId="2" applyNumberFormat="1" applyFont="1" applyFill="1" applyBorder="1" applyAlignment="1">
      <alignment horizontal="right"/>
    </xf>
    <xf numFmtId="0" fontId="56" fillId="0" borderId="1" xfId="0" applyFont="1" applyBorder="1" applyAlignment="1">
      <alignment horizontal="center"/>
    </xf>
    <xf numFmtId="0" fontId="46" fillId="3" borderId="1" xfId="0" applyFont="1" applyFill="1" applyBorder="1" applyAlignment="1">
      <alignment horizontal="center" vertical="center"/>
    </xf>
    <xf numFmtId="0" fontId="60" fillId="0" borderId="0" xfId="0" applyFont="1" applyBorder="1" applyAlignment="1">
      <alignment vertical="center"/>
    </xf>
    <xf numFmtId="0" fontId="60" fillId="0" borderId="0" xfId="0" applyFont="1" applyBorder="1" applyAlignment="1">
      <alignment horizontal="center" vertical="center"/>
    </xf>
    <xf numFmtId="0" fontId="60" fillId="0" borderId="6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4" fontId="0" fillId="4" borderId="1" xfId="0" applyNumberFormat="1" applyFont="1" applyFill="1" applyBorder="1" applyAlignment="1">
      <alignment vertical="center"/>
    </xf>
    <xf numFmtId="2" fontId="0" fillId="6" borderId="1" xfId="0" applyNumberFormat="1" applyFont="1" applyFill="1" applyBorder="1" applyAlignment="1">
      <alignment vertical="center"/>
    </xf>
    <xf numFmtId="44" fontId="1" fillId="4" borderId="1" xfId="1" applyFont="1" applyFill="1" applyBorder="1" applyAlignment="1">
      <alignment vertical="center"/>
    </xf>
    <xf numFmtId="165" fontId="1" fillId="4" borderId="1" xfId="2" applyNumberFormat="1" applyFont="1" applyFill="1" applyBorder="1" applyAlignment="1">
      <alignment horizontal="right" vertical="center"/>
    </xf>
    <xf numFmtId="2" fontId="1" fillId="6" borderId="1" xfId="2" applyNumberFormat="1" applyFont="1" applyFill="1" applyBorder="1" applyAlignment="1">
      <alignment vertical="center"/>
    </xf>
    <xf numFmtId="4" fontId="1" fillId="6" borderId="1" xfId="2" applyNumberFormat="1" applyFont="1" applyFill="1" applyBorder="1" applyAlignment="1">
      <alignment vertical="center"/>
    </xf>
    <xf numFmtId="44" fontId="46" fillId="3" borderId="1" xfId="1" applyFont="1" applyFill="1" applyBorder="1" applyAlignment="1">
      <alignment vertical="center"/>
    </xf>
    <xf numFmtId="43" fontId="1" fillId="4" borderId="1" xfId="2" applyNumberFormat="1" applyFont="1" applyFill="1" applyBorder="1" applyAlignment="1">
      <alignment vertical="center"/>
    </xf>
    <xf numFmtId="43" fontId="1" fillId="6" borderId="1" xfId="2" applyNumberFormat="1" applyFont="1" applyFill="1" applyBorder="1" applyAlignment="1">
      <alignment vertical="center"/>
    </xf>
    <xf numFmtId="43" fontId="0" fillId="4" borderId="1" xfId="0" applyNumberFormat="1" applyFont="1" applyFill="1" applyBorder="1" applyAlignment="1">
      <alignment vertical="center"/>
    </xf>
    <xf numFmtId="44" fontId="60" fillId="4" borderId="1" xfId="1" applyNumberFormat="1" applyFont="1" applyFill="1" applyBorder="1" applyAlignment="1">
      <alignment vertical="center"/>
    </xf>
    <xf numFmtId="44" fontId="60" fillId="4" borderId="1" xfId="1" applyFont="1" applyFill="1" applyBorder="1" applyAlignment="1">
      <alignment horizontal="center" vertical="center"/>
    </xf>
    <xf numFmtId="44" fontId="46" fillId="3" borderId="1" xfId="0" applyNumberFormat="1" applyFont="1" applyFill="1" applyBorder="1" applyAlignment="1">
      <alignment vertical="center"/>
    </xf>
    <xf numFmtId="3" fontId="0" fillId="4" borderId="1" xfId="0" applyNumberFormat="1" applyFont="1" applyFill="1" applyBorder="1" applyAlignment="1">
      <alignment horizontal="right" vertical="center"/>
    </xf>
    <xf numFmtId="1" fontId="1" fillId="4" borderId="1" xfId="2" applyNumberFormat="1" applyFont="1" applyFill="1" applyBorder="1" applyAlignment="1">
      <alignment vertical="center"/>
    </xf>
    <xf numFmtId="176" fontId="1" fillId="4" borderId="1" xfId="2" applyNumberFormat="1" applyFont="1" applyFill="1" applyBorder="1" applyAlignment="1">
      <alignment vertical="center"/>
    </xf>
    <xf numFmtId="0" fontId="46" fillId="3" borderId="1" xfId="0" applyFont="1" applyFill="1" applyBorder="1" applyAlignment="1">
      <alignment horizontal="right"/>
    </xf>
    <xf numFmtId="14" fontId="0" fillId="0" borderId="0" xfId="0" applyNumberFormat="1" applyBorder="1" applyAlignment="1">
      <alignment horizontal="left"/>
    </xf>
    <xf numFmtId="17" fontId="26" fillId="2" borderId="1" xfId="0" applyNumberFormat="1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/>
    </xf>
    <xf numFmtId="14" fontId="26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0" fontId="1" fillId="2" borderId="77" xfId="3" applyNumberFormat="1" applyFont="1" applyFill="1" applyBorder="1" applyAlignment="1">
      <alignment horizontal="center"/>
    </xf>
    <xf numFmtId="10" fontId="1" fillId="2" borderId="80" xfId="3" applyNumberFormat="1" applyFont="1" applyFill="1" applyBorder="1" applyAlignment="1">
      <alignment horizontal="center"/>
    </xf>
    <xf numFmtId="44" fontId="1" fillId="2" borderId="82" xfId="1" applyNumberFormat="1" applyFont="1" applyFill="1" applyBorder="1"/>
    <xf numFmtId="10" fontId="1" fillId="2" borderId="83" xfId="3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9" fontId="1" fillId="4" borderId="1" xfId="3" applyFont="1" applyFill="1" applyBorder="1"/>
    <xf numFmtId="9" fontId="1" fillId="2" borderId="1" xfId="3" applyFont="1" applyFill="1" applyBorder="1"/>
    <xf numFmtId="173" fontId="10" fillId="0" borderId="1" xfId="4" applyNumberFormat="1" applyFont="1" applyFill="1" applyBorder="1" applyAlignment="1">
      <alignment horizontal="center" vertical="center"/>
    </xf>
    <xf numFmtId="172" fontId="10" fillId="0" borderId="1" xfId="4" applyNumberFormat="1" applyFont="1" applyFill="1" applyBorder="1" applyAlignment="1">
      <alignment horizontal="center" vertical="center"/>
    </xf>
    <xf numFmtId="4" fontId="10" fillId="0" borderId="1" xfId="4" applyNumberFormat="1" applyFont="1" applyFill="1" applyBorder="1" applyAlignment="1">
      <alignment horizontal="center" vertical="center" wrapText="1"/>
    </xf>
    <xf numFmtId="1" fontId="10" fillId="2" borderId="3" xfId="4" applyNumberFormat="1" applyFont="1" applyFill="1" applyBorder="1" applyAlignment="1">
      <alignment horizontal="right" vertical="center" wrapText="1"/>
    </xf>
    <xf numFmtId="1" fontId="10" fillId="2" borderId="0" xfId="4" applyNumberFormat="1" applyFont="1" applyFill="1" applyBorder="1" applyAlignment="1">
      <alignment horizontal="right" vertical="center" wrapText="1"/>
    </xf>
    <xf numFmtId="3" fontId="10" fillId="0" borderId="1" xfId="4" applyNumberFormat="1" applyFont="1" applyFill="1" applyBorder="1" applyAlignment="1">
      <alignment horizontal="center"/>
    </xf>
    <xf numFmtId="0" fontId="4" fillId="6" borderId="7" xfId="0" applyFont="1" applyFill="1" applyBorder="1" applyAlignment="1"/>
    <xf numFmtId="0" fontId="4" fillId="6" borderId="8" xfId="0" applyFont="1" applyFill="1" applyBorder="1" applyAlignment="1"/>
    <xf numFmtId="0" fontId="4" fillId="6" borderId="9" xfId="0" applyFont="1" applyFill="1" applyBorder="1" applyAlignment="1"/>
    <xf numFmtId="0" fontId="17" fillId="0" borderId="30" xfId="0" applyFont="1" applyBorder="1" applyAlignment="1">
      <alignment horizontal="center" vertical="center" wrapText="1"/>
    </xf>
    <xf numFmtId="17" fontId="17" fillId="0" borderId="0" xfId="0" applyNumberFormat="1" applyFont="1" applyBorder="1" applyAlignment="1">
      <alignment vertical="center" wrapText="1"/>
    </xf>
    <xf numFmtId="17" fontId="17" fillId="0" borderId="30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55" fillId="2" borderId="1" xfId="0" applyFont="1" applyFill="1" applyBorder="1" applyAlignment="1">
      <alignment vertical="center"/>
    </xf>
    <xf numFmtId="2" fontId="55" fillId="0" borderId="30" xfId="0" applyNumberFormat="1" applyFont="1" applyFill="1" applyBorder="1" applyAlignment="1">
      <alignment horizontal="right"/>
    </xf>
    <xf numFmtId="0" fontId="0" fillId="3" borderId="2" xfId="0" applyFont="1" applyFill="1" applyBorder="1"/>
    <xf numFmtId="0" fontId="0" fillId="3" borderId="3" xfId="0" applyFont="1" applyFill="1" applyBorder="1"/>
    <xf numFmtId="0" fontId="0" fillId="3" borderId="2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44" fontId="1" fillId="0" borderId="1" xfId="14" applyFont="1" applyBorder="1" applyAlignment="1">
      <alignment horizontal="center" vertical="center" wrapText="1"/>
    </xf>
    <xf numFmtId="168" fontId="1" fillId="2" borderId="1" xfId="15" applyNumberFormat="1" applyFont="1" applyFill="1" applyBorder="1" applyAlignment="1">
      <alignment horizontal="center" vertical="top" wrapText="1"/>
    </xf>
    <xf numFmtId="168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vertical="center"/>
    </xf>
    <xf numFmtId="17" fontId="0" fillId="3" borderId="1" xfId="0" applyNumberFormat="1" applyFont="1" applyFill="1" applyBorder="1" applyAlignment="1">
      <alignment horizontal="center" vertical="center"/>
    </xf>
    <xf numFmtId="17" fontId="34" fillId="5" borderId="72" xfId="4" applyNumberFormat="1" applyFont="1" applyFill="1" applyBorder="1" applyAlignment="1">
      <alignment horizontal="center" vertical="center"/>
    </xf>
    <xf numFmtId="49" fontId="34" fillId="5" borderId="73" xfId="4" applyNumberFormat="1" applyFont="1" applyFill="1" applyBorder="1" applyAlignment="1">
      <alignment horizontal="center"/>
    </xf>
    <xf numFmtId="170" fontId="34" fillId="5" borderId="74" xfId="4" applyNumberFormat="1" applyFont="1" applyFill="1" applyBorder="1" applyAlignment="1">
      <alignment horizontal="center"/>
    </xf>
    <xf numFmtId="17" fontId="0" fillId="2" borderId="58" xfId="0" applyNumberFormat="1" applyFont="1" applyFill="1" applyBorder="1" applyAlignment="1">
      <alignment horizontal="center" vertical="center"/>
    </xf>
    <xf numFmtId="17" fontId="0" fillId="2" borderId="56" xfId="0" applyNumberFormat="1" applyFont="1" applyFill="1" applyBorder="1" applyAlignment="1">
      <alignment horizontal="center" vertical="center"/>
    </xf>
    <xf numFmtId="17" fontId="0" fillId="2" borderId="6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10" xfId="0" applyFont="1" applyBorder="1"/>
    <xf numFmtId="0" fontId="0" fillId="0" borderId="12" xfId="0" applyFont="1" applyBorder="1"/>
    <xf numFmtId="0" fontId="0" fillId="0" borderId="5" xfId="0" applyFont="1" applyBorder="1"/>
    <xf numFmtId="2" fontId="0" fillId="0" borderId="0" xfId="0" applyNumberFormat="1" applyFont="1"/>
    <xf numFmtId="0" fontId="0" fillId="0" borderId="10" xfId="0" applyFont="1" applyFill="1" applyBorder="1"/>
    <xf numFmtId="0" fontId="0" fillId="0" borderId="12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2" borderId="2" xfId="0" applyFont="1" applyFill="1" applyBorder="1"/>
    <xf numFmtId="17" fontId="0" fillId="0" borderId="3" xfId="0" applyNumberFormat="1" applyFont="1" applyFill="1" applyBorder="1" applyAlignment="1">
      <alignment horizontal="left" vertical="top" wrapText="1"/>
    </xf>
    <xf numFmtId="0" fontId="0" fillId="2" borderId="4" xfId="0" applyFont="1" applyFill="1" applyBorder="1"/>
    <xf numFmtId="0" fontId="0" fillId="0" borderId="0" xfId="0" applyFont="1" applyAlignment="1"/>
    <xf numFmtId="0" fontId="62" fillId="0" borderId="0" xfId="24" applyFont="1" applyAlignment="1" applyProtection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2" borderId="0" xfId="0" applyFont="1" applyFill="1" applyBorder="1" applyAlignment="1">
      <alignment horizontal="center" vertical="top" wrapText="1"/>
    </xf>
    <xf numFmtId="0" fontId="0" fillId="2" borderId="5" xfId="0" applyFont="1" applyFill="1" applyBorder="1"/>
    <xf numFmtId="0" fontId="0" fillId="2" borderId="0" xfId="0" applyFont="1" applyFill="1" applyBorder="1"/>
    <xf numFmtId="0" fontId="0" fillId="0" borderId="11" xfId="0" applyFont="1" applyBorder="1"/>
    <xf numFmtId="0" fontId="0" fillId="0" borderId="2" xfId="0" applyFont="1" applyBorder="1"/>
    <xf numFmtId="0" fontId="0" fillId="0" borderId="3" xfId="0" applyFont="1" applyBorder="1"/>
    <xf numFmtId="0" fontId="0" fillId="2" borderId="1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4" fontId="1" fillId="2" borderId="1" xfId="14" applyFont="1" applyFill="1" applyBorder="1" applyAlignment="1">
      <alignment horizontal="center" vertical="top" wrapText="1"/>
    </xf>
    <xf numFmtId="44" fontId="0" fillId="3" borderId="1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right"/>
    </xf>
    <xf numFmtId="44" fontId="1" fillId="3" borderId="1" xfId="14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44" fontId="1" fillId="2" borderId="1" xfId="14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right"/>
    </xf>
    <xf numFmtId="0" fontId="0" fillId="3" borderId="0" xfId="0" applyFont="1" applyFill="1" applyBorder="1"/>
    <xf numFmtId="8" fontId="1" fillId="2" borderId="1" xfId="14" applyNumberFormat="1" applyFont="1" applyFill="1" applyBorder="1" applyAlignment="1">
      <alignment horizontal="center" vertical="top" wrapText="1"/>
    </xf>
    <xf numFmtId="44" fontId="1" fillId="2" borderId="1" xfId="1" applyNumberFormat="1" applyFont="1" applyFill="1" applyBorder="1" applyAlignment="1">
      <alignment vertical="center"/>
    </xf>
    <xf numFmtId="44" fontId="1" fillId="4" borderId="1" xfId="1" applyNumberFormat="1" applyFont="1" applyFill="1" applyBorder="1" applyAlignment="1">
      <alignment vertical="center"/>
    </xf>
    <xf numFmtId="44" fontId="28" fillId="4" borderId="1" xfId="1" applyNumberFormat="1" applyFont="1" applyFill="1" applyBorder="1" applyAlignment="1">
      <alignment vertical="center"/>
    </xf>
    <xf numFmtId="44" fontId="48" fillId="4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8" fontId="0" fillId="3" borderId="1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44" fontId="4" fillId="0" borderId="0" xfId="0" applyNumberFormat="1" applyFont="1" applyFill="1" applyBorder="1" applyAlignment="1">
      <alignment horizontal="center" vertical="center"/>
    </xf>
    <xf numFmtId="0" fontId="46" fillId="4" borderId="1" xfId="0" applyFont="1" applyFill="1" applyBorder="1" applyAlignment="1">
      <alignment horizontal="center" vertical="center"/>
    </xf>
    <xf numFmtId="0" fontId="56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77" fontId="0" fillId="0" borderId="55" xfId="0" applyNumberFormat="1" applyFont="1" applyBorder="1" applyAlignment="1">
      <alignment horizontal="center" vertical="center"/>
    </xf>
    <xf numFmtId="177" fontId="0" fillId="0" borderId="57" xfId="0" applyNumberFormat="1" applyFont="1" applyBorder="1" applyAlignment="1">
      <alignment horizontal="center" vertical="center"/>
    </xf>
    <xf numFmtId="177" fontId="0" fillId="0" borderId="63" xfId="0" applyNumberFormat="1" applyFont="1" applyBorder="1" applyAlignment="1">
      <alignment horizontal="center" vertical="center"/>
    </xf>
    <xf numFmtId="44" fontId="28" fillId="4" borderId="1" xfId="1" applyFont="1" applyFill="1" applyBorder="1" applyAlignment="1">
      <alignment vertical="center"/>
    </xf>
    <xf numFmtId="44" fontId="47" fillId="4" borderId="1" xfId="1" applyNumberFormat="1" applyFont="1" applyFill="1" applyBorder="1" applyAlignment="1">
      <alignment vertical="center"/>
    </xf>
    <xf numFmtId="44" fontId="47" fillId="4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vertical="center"/>
    </xf>
    <xf numFmtId="0" fontId="46" fillId="4" borderId="6" xfId="0" applyFont="1" applyFill="1" applyBorder="1" applyAlignment="1">
      <alignment horizontal="right"/>
    </xf>
    <xf numFmtId="2" fontId="10" fillId="0" borderId="1" xfId="4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43" fillId="0" borderId="9" xfId="0" applyFont="1" applyBorder="1"/>
    <xf numFmtId="0" fontId="55" fillId="0" borderId="10" xfId="0" applyFont="1" applyBorder="1"/>
    <xf numFmtId="0" fontId="55" fillId="0" borderId="11" xfId="0" applyFont="1" applyBorder="1"/>
    <xf numFmtId="44" fontId="1" fillId="2" borderId="1" xfId="1" applyFont="1" applyFill="1" applyBorder="1" applyAlignment="1">
      <alignment vertical="center"/>
    </xf>
    <xf numFmtId="0" fontId="6" fillId="0" borderId="0" xfId="17" applyFont="1"/>
    <xf numFmtId="0" fontId="6" fillId="0" borderId="0" xfId="17" applyFont="1" applyFill="1"/>
    <xf numFmtId="2" fontId="10" fillId="5" borderId="1" xfId="17" applyNumberFormat="1" applyFont="1" applyFill="1" applyBorder="1" applyAlignment="1">
      <alignment horizontal="center"/>
    </xf>
    <xf numFmtId="2" fontId="10" fillId="0" borderId="1" xfId="17" applyNumberFormat="1" applyFont="1" applyFill="1" applyBorder="1" applyAlignment="1">
      <alignment horizontal="center" vertical="center"/>
    </xf>
    <xf numFmtId="2" fontId="10" fillId="0" borderId="1" xfId="17" applyNumberFormat="1" applyFont="1" applyFill="1" applyBorder="1" applyAlignment="1">
      <alignment horizontal="center"/>
    </xf>
    <xf numFmtId="2" fontId="11" fillId="0" borderId="11" xfId="4" applyNumberFormat="1" applyFont="1" applyFill="1" applyBorder="1" applyAlignment="1">
      <alignment horizontal="right" vertical="center"/>
    </xf>
    <xf numFmtId="4" fontId="11" fillId="0" borderId="12" xfId="4" applyNumberFormat="1" applyFont="1" applyFill="1" applyBorder="1" applyAlignment="1">
      <alignment horizontal="center"/>
    </xf>
    <xf numFmtId="4" fontId="11" fillId="0" borderId="1" xfId="4" applyNumberFormat="1" applyFont="1" applyFill="1" applyBorder="1" applyAlignment="1">
      <alignment horizontal="center"/>
    </xf>
    <xf numFmtId="1" fontId="11" fillId="0" borderId="5" xfId="4" applyNumberFormat="1" applyFont="1" applyFill="1" applyBorder="1" applyAlignment="1">
      <alignment horizontal="right" vertical="center"/>
    </xf>
    <xf numFmtId="1" fontId="11" fillId="0" borderId="0" xfId="4" applyNumberFormat="1" applyFont="1" applyFill="1" applyBorder="1" applyAlignment="1">
      <alignment horizontal="right" vertical="center"/>
    </xf>
    <xf numFmtId="2" fontId="11" fillId="0" borderId="0" xfId="4" applyNumberFormat="1" applyFont="1" applyFill="1" applyBorder="1" applyAlignment="1">
      <alignment horizontal="right" vertical="center"/>
    </xf>
    <xf numFmtId="4" fontId="11" fillId="0" borderId="6" xfId="4" applyNumberFormat="1" applyFont="1" applyFill="1" applyBorder="1" applyAlignment="1">
      <alignment horizontal="center"/>
    </xf>
    <xf numFmtId="1" fontId="11" fillId="0" borderId="7" xfId="4" applyNumberFormat="1" applyFont="1" applyFill="1" applyBorder="1" applyAlignment="1">
      <alignment horizontal="right" vertical="center"/>
    </xf>
    <xf numFmtId="1" fontId="11" fillId="0" borderId="8" xfId="4" applyNumberFormat="1" applyFont="1" applyFill="1" applyBorder="1" applyAlignment="1">
      <alignment horizontal="right" vertical="center"/>
    </xf>
    <xf numFmtId="2" fontId="11" fillId="0" borderId="8" xfId="4" applyNumberFormat="1" applyFont="1" applyFill="1" applyBorder="1" applyAlignment="1">
      <alignment horizontal="right" vertical="center"/>
    </xf>
    <xf numFmtId="4" fontId="11" fillId="0" borderId="9" xfId="4" applyNumberFormat="1" applyFont="1" applyFill="1" applyBorder="1" applyAlignment="1">
      <alignment horizontal="center"/>
    </xf>
    <xf numFmtId="1" fontId="11" fillId="0" borderId="2" xfId="4" applyNumberFormat="1" applyFont="1" applyFill="1" applyBorder="1" applyAlignment="1">
      <alignment horizontal="right" vertical="center"/>
    </xf>
    <xf numFmtId="1" fontId="11" fillId="0" borderId="3" xfId="4" applyNumberFormat="1" applyFont="1" applyFill="1" applyBorder="1" applyAlignment="1">
      <alignment horizontal="right" vertical="center"/>
    </xf>
    <xf numFmtId="2" fontId="11" fillId="0" borderId="3" xfId="4" applyNumberFormat="1" applyFont="1" applyFill="1" applyBorder="1" applyAlignment="1">
      <alignment horizontal="right" vertical="center"/>
    </xf>
    <xf numFmtId="4" fontId="11" fillId="0" borderId="4" xfId="4" applyNumberFormat="1" applyFont="1" applyFill="1" applyBorder="1" applyAlignment="1">
      <alignment horizontal="center"/>
    </xf>
    <xf numFmtId="4" fontId="10" fillId="0" borderId="1" xfId="17" applyNumberFormat="1" applyFont="1" applyFill="1" applyBorder="1" applyAlignment="1">
      <alignment horizontal="center"/>
    </xf>
    <xf numFmtId="2" fontId="6" fillId="0" borderId="0" xfId="17" applyNumberFormat="1" applyFont="1"/>
    <xf numFmtId="0" fontId="4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44" fontId="47" fillId="4" borderId="1" xfId="1" applyFont="1" applyFill="1" applyBorder="1" applyAlignment="1">
      <alignment vertical="center"/>
    </xf>
    <xf numFmtId="4" fontId="48" fillId="4" borderId="1" xfId="1" applyNumberFormat="1" applyFont="1" applyFill="1" applyBorder="1" applyAlignment="1">
      <alignment vertical="center"/>
    </xf>
    <xf numFmtId="44" fontId="46" fillId="4" borderId="1" xfId="1" applyNumberFormat="1" applyFont="1" applyFill="1" applyBorder="1" applyAlignment="1">
      <alignment vertical="center"/>
    </xf>
    <xf numFmtId="44" fontId="46" fillId="2" borderId="1" xfId="1" applyFont="1" applyFill="1" applyBorder="1" applyAlignment="1">
      <alignment vertical="center"/>
    </xf>
    <xf numFmtId="165" fontId="0" fillId="4" borderId="20" xfId="2" applyNumberFormat="1" applyFont="1" applyFill="1" applyBorder="1" applyAlignment="1">
      <alignment horizontal="right" vertical="center"/>
    </xf>
    <xf numFmtId="165" fontId="0" fillId="4" borderId="20" xfId="2" applyNumberFormat="1" applyFont="1" applyFill="1" applyBorder="1" applyAlignment="1">
      <alignment horizontal="center" vertical="center"/>
    </xf>
    <xf numFmtId="0" fontId="11" fillId="0" borderId="1" xfId="18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169" fontId="6" fillId="0" borderId="0" xfId="17" applyNumberFormat="1" applyFont="1" applyFill="1"/>
    <xf numFmtId="44" fontId="0" fillId="0" borderId="0" xfId="0" applyNumberFormat="1" applyFill="1" applyBorder="1" applyAlignment="1">
      <alignment horizontal="center"/>
    </xf>
    <xf numFmtId="166" fontId="10" fillId="0" borderId="1" xfId="17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0" fontId="46" fillId="0" borderId="5" xfId="0" applyFont="1" applyBorder="1" applyAlignment="1">
      <alignment horizontal="left" vertical="center"/>
    </xf>
    <xf numFmtId="4" fontId="11" fillId="0" borderId="25" xfId="4" applyNumberFormat="1" applyFont="1" applyFill="1" applyBorder="1" applyAlignment="1">
      <alignment horizont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17" fontId="13" fillId="2" borderId="1" xfId="0" applyNumberFormat="1" applyFont="1" applyFill="1" applyBorder="1" applyAlignment="1">
      <alignment horizontal="center" vertical="center"/>
    </xf>
    <xf numFmtId="169" fontId="57" fillId="0" borderId="1" xfId="0" applyNumberFormat="1" applyFont="1" applyBorder="1" applyAlignment="1">
      <alignment horizontal="right" vertical="center" wrapText="1"/>
    </xf>
    <xf numFmtId="2" fontId="52" fillId="0" borderId="1" xfId="0" applyNumberFormat="1" applyFont="1" applyFill="1" applyBorder="1" applyAlignment="1">
      <alignment horizontal="right"/>
    </xf>
    <xf numFmtId="178" fontId="57" fillId="0" borderId="1" xfId="0" applyNumberFormat="1" applyFont="1" applyBorder="1" applyAlignment="1">
      <alignment horizontal="left" vertical="center" wrapText="1"/>
    </xf>
    <xf numFmtId="10" fontId="28" fillId="4" borderId="1" xfId="0" applyNumberFormat="1" applyFont="1" applyFill="1" applyBorder="1"/>
    <xf numFmtId="10" fontId="28" fillId="2" borderId="1" xfId="2" applyNumberFormat="1" applyFont="1" applyFill="1" applyBorder="1"/>
    <xf numFmtId="44" fontId="28" fillId="2" borderId="82" xfId="1" applyFont="1" applyFill="1" applyBorder="1"/>
    <xf numFmtId="44" fontId="28" fillId="2" borderId="79" xfId="0" applyNumberFormat="1" applyFont="1" applyFill="1" applyBorder="1" applyAlignment="1">
      <alignment horizontal="center"/>
    </xf>
    <xf numFmtId="10" fontId="28" fillId="2" borderId="80" xfId="3" applyNumberFormat="1" applyFont="1" applyFill="1" applyBorder="1" applyAlignment="1">
      <alignment horizontal="center"/>
    </xf>
    <xf numFmtId="44" fontId="28" fillId="2" borderId="79" xfId="1" applyFont="1" applyFill="1" applyBorder="1"/>
    <xf numFmtId="44" fontId="28" fillId="2" borderId="1" xfId="1" applyNumberFormat="1" applyFont="1" applyFill="1" applyBorder="1" applyAlignment="1">
      <alignment vertical="center"/>
    </xf>
    <xf numFmtId="44" fontId="48" fillId="3" borderId="1" xfId="0" applyNumberFormat="1" applyFont="1" applyFill="1" applyBorder="1"/>
    <xf numFmtId="1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/>
    </xf>
    <xf numFmtId="2" fontId="68" fillId="0" borderId="1" xfId="4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center"/>
    </xf>
    <xf numFmtId="1" fontId="12" fillId="2" borderId="1" xfId="4" applyNumberFormat="1" applyFont="1" applyFill="1" applyBorder="1" applyAlignment="1">
      <alignment horizontal="center" vertical="center"/>
    </xf>
    <xf numFmtId="166" fontId="12" fillId="2" borderId="1" xfId="4" applyNumberFormat="1" applyFont="1" applyFill="1" applyBorder="1" applyAlignment="1">
      <alignment horizontal="center" vertical="center"/>
    </xf>
    <xf numFmtId="166" fontId="12" fillId="2" borderId="1" xfId="5" applyNumberFormat="1" applyFont="1" applyFill="1" applyBorder="1" applyAlignment="1">
      <alignment horizontal="center" vertical="center"/>
    </xf>
    <xf numFmtId="166" fontId="12" fillId="0" borderId="1" xfId="4" applyNumberFormat="1" applyFon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52" fillId="0" borderId="0" xfId="19" applyNumberFormat="1" applyFont="1"/>
    <xf numFmtId="0" fontId="46" fillId="0" borderId="0" xfId="0" applyFont="1" applyFill="1" applyBorder="1" applyAlignment="1">
      <alignment horizontal="right"/>
    </xf>
    <xf numFmtId="44" fontId="48" fillId="0" borderId="0" xfId="0" applyNumberFormat="1" applyFont="1" applyFill="1" applyBorder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61" fillId="0" borderId="1" xfId="0" applyFont="1" applyBorder="1" applyAlignment="1" applyProtection="1">
      <alignment horizontal="center" vertical="center"/>
    </xf>
    <xf numFmtId="0" fontId="0" fillId="0" borderId="1" xfId="0" applyFont="1" applyFill="1" applyBorder="1" applyAlignment="1">
      <alignment vertical="center"/>
    </xf>
    <xf numFmtId="1" fontId="1" fillId="0" borderId="1" xfId="2" applyNumberFormat="1" applyFont="1" applyFill="1" applyBorder="1" applyAlignment="1">
      <alignment vertical="center"/>
    </xf>
    <xf numFmtId="2" fontId="1" fillId="0" borderId="1" xfId="2" applyNumberFormat="1" applyFont="1" applyFill="1" applyBorder="1" applyAlignment="1">
      <alignment vertical="center"/>
    </xf>
    <xf numFmtId="4" fontId="1" fillId="0" borderId="1" xfId="2" applyNumberFormat="1" applyFont="1" applyFill="1" applyBorder="1" applyAlignment="1">
      <alignment vertical="center"/>
    </xf>
    <xf numFmtId="10" fontId="46" fillId="0" borderId="1" xfId="3" applyNumberFormat="1" applyFont="1" applyFill="1" applyBorder="1" applyAlignment="1">
      <alignment vertical="center"/>
    </xf>
    <xf numFmtId="44" fontId="1" fillId="0" borderId="1" xfId="1" applyFont="1" applyFill="1" applyBorder="1" applyAlignment="1">
      <alignment vertical="center"/>
    </xf>
    <xf numFmtId="44" fontId="1" fillId="0" borderId="1" xfId="1" applyNumberFormat="1" applyFont="1" applyFill="1" applyBorder="1" applyAlignment="1">
      <alignment vertical="center"/>
    </xf>
    <xf numFmtId="165" fontId="1" fillId="0" borderId="1" xfId="2" applyNumberFormat="1" applyFont="1" applyFill="1" applyBorder="1" applyAlignment="1">
      <alignment horizontal="right" vertical="center"/>
    </xf>
    <xf numFmtId="44" fontId="28" fillId="4" borderId="1" xfId="1" applyFont="1" applyFill="1" applyBorder="1" applyAlignment="1" applyProtection="1">
      <alignment vertical="center"/>
      <protection locked="0"/>
    </xf>
    <xf numFmtId="0" fontId="71" fillId="0" borderId="8" xfId="0" applyFont="1" applyBorder="1" applyAlignment="1" applyProtection="1">
      <alignment horizontal="center"/>
    </xf>
    <xf numFmtId="0" fontId="71" fillId="0" borderId="0" xfId="0" applyFont="1" applyBorder="1" applyAlignment="1" applyProtection="1">
      <alignment horizontal="center"/>
    </xf>
    <xf numFmtId="0" fontId="72" fillId="4" borderId="10" xfId="0" applyFont="1" applyFill="1" applyBorder="1" applyAlignment="1" applyProtection="1">
      <alignment horizontal="left" vertical="center"/>
      <protection locked="0"/>
    </xf>
    <xf numFmtId="0" fontId="72" fillId="4" borderId="11" xfId="0" applyFont="1" applyFill="1" applyBorder="1" applyAlignment="1" applyProtection="1">
      <alignment horizontal="left" vertical="center"/>
      <protection locked="0"/>
    </xf>
    <xf numFmtId="0" fontId="72" fillId="4" borderId="12" xfId="0" applyFont="1" applyFill="1" applyBorder="1" applyAlignment="1" applyProtection="1">
      <alignment horizontal="left" vertical="center"/>
      <protection locked="0"/>
    </xf>
    <xf numFmtId="0" fontId="46" fillId="3" borderId="10" xfId="0" applyFont="1" applyFill="1" applyBorder="1" applyAlignment="1">
      <alignment horizontal="left" vertical="center" wrapText="1"/>
    </xf>
    <xf numFmtId="0" fontId="46" fillId="3" borderId="11" xfId="0" applyFont="1" applyFill="1" applyBorder="1" applyAlignment="1">
      <alignment horizontal="left" vertical="center" wrapText="1"/>
    </xf>
    <xf numFmtId="0" fontId="46" fillId="3" borderId="12" xfId="0" applyFont="1" applyFill="1" applyBorder="1" applyAlignment="1">
      <alignment horizontal="left" vertical="center" wrapText="1"/>
    </xf>
    <xf numFmtId="0" fontId="46" fillId="3" borderId="10" xfId="0" applyFont="1" applyFill="1" applyBorder="1" applyAlignment="1">
      <alignment horizontal="center" vertical="center"/>
    </xf>
    <xf numFmtId="0" fontId="46" fillId="3" borderId="12" xfId="0" applyFont="1" applyFill="1" applyBorder="1" applyAlignment="1">
      <alignment horizontal="center" vertical="center"/>
    </xf>
    <xf numFmtId="0" fontId="46" fillId="4" borderId="10" xfId="0" applyFont="1" applyFill="1" applyBorder="1" applyAlignment="1">
      <alignment horizontal="center" vertical="center"/>
    </xf>
    <xf numFmtId="0" fontId="46" fillId="4" borderId="12" xfId="0" applyFont="1" applyFill="1" applyBorder="1" applyAlignment="1">
      <alignment horizontal="center" vertical="center"/>
    </xf>
    <xf numFmtId="0" fontId="46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center" vertical="center"/>
    </xf>
    <xf numFmtId="0" fontId="60" fillId="3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/>
    </xf>
    <xf numFmtId="17" fontId="56" fillId="0" borderId="1" xfId="0" applyNumberFormat="1" applyFont="1" applyBorder="1" applyAlignment="1">
      <alignment horizontal="center"/>
    </xf>
    <xf numFmtId="14" fontId="5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6" fillId="3" borderId="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1" fontId="46" fillId="0" borderId="0" xfId="0" applyNumberFormat="1" applyFont="1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/>
    </xf>
    <xf numFmtId="0" fontId="5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7" fontId="4" fillId="0" borderId="10" xfId="0" applyNumberFormat="1" applyFont="1" applyBorder="1" applyAlignment="1">
      <alignment horizontal="center"/>
    </xf>
    <xf numFmtId="17" fontId="4" fillId="0" borderId="11" xfId="0" applyNumberFormat="1" applyFont="1" applyBorder="1" applyAlignment="1">
      <alignment horizontal="center"/>
    </xf>
    <xf numFmtId="17" fontId="4" fillId="0" borderId="12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44" fontId="28" fillId="0" borderId="10" xfId="1" applyFont="1" applyBorder="1" applyAlignment="1">
      <alignment horizontal="center"/>
    </xf>
    <xf numFmtId="44" fontId="28" fillId="0" borderId="12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44" fontId="28" fillId="0" borderId="10" xfId="0" applyNumberFormat="1" applyFont="1" applyBorder="1" applyAlignment="1">
      <alignment horizontal="center"/>
    </xf>
    <xf numFmtId="44" fontId="0" fillId="0" borderId="10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11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7" fillId="0" borderId="10" xfId="6" applyFont="1" applyBorder="1" applyAlignment="1">
      <alignment horizontal="center" vertical="center"/>
    </xf>
    <xf numFmtId="0" fontId="7" fillId="0" borderId="11" xfId="6" applyFont="1" applyBorder="1" applyAlignment="1">
      <alignment horizontal="center" vertical="center"/>
    </xf>
    <xf numFmtId="0" fontId="7" fillId="0" borderId="12" xfId="6" applyFont="1" applyBorder="1" applyAlignment="1">
      <alignment horizontal="center" vertical="center"/>
    </xf>
    <xf numFmtId="0" fontId="43" fillId="0" borderId="1" xfId="0" applyFont="1" applyBorder="1" applyAlignment="1">
      <alignment horizontal="right"/>
    </xf>
    <xf numFmtId="0" fontId="43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17" fontId="7" fillId="0" borderId="1" xfId="6" applyNumberFormat="1" applyFont="1" applyBorder="1" applyAlignment="1">
      <alignment horizontal="center" vertical="center"/>
    </xf>
    <xf numFmtId="44" fontId="69" fillId="0" borderId="10" xfId="1" applyFont="1" applyBorder="1" applyAlignment="1">
      <alignment horizontal="center" vertical="center"/>
    </xf>
    <xf numFmtId="44" fontId="69" fillId="0" borderId="11" xfId="1" applyFont="1" applyBorder="1" applyAlignment="1">
      <alignment horizontal="center" vertical="center"/>
    </xf>
    <xf numFmtId="44" fontId="69" fillId="0" borderId="12" xfId="1" applyFont="1" applyBorder="1" applyAlignment="1">
      <alignment horizontal="center" vertical="center"/>
    </xf>
    <xf numFmtId="0" fontId="7" fillId="0" borderId="28" xfId="11" applyFont="1" applyBorder="1" applyAlignment="1">
      <alignment horizontal="center" vertical="center"/>
    </xf>
    <xf numFmtId="0" fontId="7" fillId="0" borderId="29" xfId="11" applyFont="1" applyBorder="1" applyAlignment="1">
      <alignment horizontal="center" vertical="center"/>
    </xf>
    <xf numFmtId="0" fontId="36" fillId="0" borderId="51" xfId="11" applyFont="1" applyBorder="1" applyAlignment="1">
      <alignment horizontal="center" vertical="center"/>
    </xf>
    <xf numFmtId="0" fontId="36" fillId="0" borderId="48" xfId="11" applyFont="1" applyBorder="1" applyAlignment="1">
      <alignment horizontal="center" vertical="center"/>
    </xf>
    <xf numFmtId="0" fontId="36" fillId="0" borderId="49" xfId="11" applyFont="1" applyBorder="1" applyAlignment="1">
      <alignment horizontal="center" vertical="center"/>
    </xf>
    <xf numFmtId="0" fontId="36" fillId="0" borderId="29" xfId="11" applyFont="1" applyBorder="1" applyAlignment="1">
      <alignment horizontal="center" vertical="center"/>
    </xf>
    <xf numFmtId="0" fontId="7" fillId="3" borderId="14" xfId="11" applyFont="1" applyFill="1" applyBorder="1" applyAlignment="1">
      <alignment horizontal="center" vertical="center"/>
    </xf>
    <xf numFmtId="0" fontId="7" fillId="3" borderId="15" xfId="11" applyFont="1" applyFill="1" applyBorder="1" applyAlignment="1">
      <alignment horizontal="center" vertical="center"/>
    </xf>
    <xf numFmtId="0" fontId="7" fillId="3" borderId="16" xfId="11" applyFont="1" applyFill="1" applyBorder="1" applyAlignment="1">
      <alignment horizontal="center" vertical="center"/>
    </xf>
    <xf numFmtId="0" fontId="7" fillId="3" borderId="52" xfId="11" applyFont="1" applyFill="1" applyBorder="1" applyAlignment="1">
      <alignment horizontal="center"/>
    </xf>
    <xf numFmtId="0" fontId="7" fillId="3" borderId="34" xfId="11" applyFont="1" applyFill="1" applyBorder="1" applyAlignment="1">
      <alignment horizontal="center"/>
    </xf>
    <xf numFmtId="0" fontId="7" fillId="3" borderId="53" xfId="11" applyFont="1" applyFill="1" applyBorder="1" applyAlignment="1">
      <alignment horizontal="center"/>
    </xf>
    <xf numFmtId="0" fontId="8" fillId="0" borderId="33" xfId="11" applyFont="1" applyFill="1" applyBorder="1" applyAlignment="1">
      <alignment horizontal="center" vertical="center"/>
    </xf>
    <xf numFmtId="0" fontId="8" fillId="0" borderId="24" xfId="11" applyFont="1" applyFill="1" applyBorder="1" applyAlignment="1">
      <alignment horizontal="center" vertical="center"/>
    </xf>
    <xf numFmtId="0" fontId="8" fillId="0" borderId="22" xfId="11" applyFont="1" applyFill="1" applyBorder="1" applyAlignment="1">
      <alignment horizontal="center" vertical="center"/>
    </xf>
    <xf numFmtId="0" fontId="8" fillId="0" borderId="23" xfId="11" applyFont="1" applyFill="1" applyBorder="1" applyAlignment="1">
      <alignment horizontal="center" vertical="center"/>
    </xf>
    <xf numFmtId="0" fontId="7" fillId="0" borderId="26" xfId="11" applyFont="1" applyFill="1" applyBorder="1" applyAlignment="1">
      <alignment horizontal="center" vertical="center"/>
    </xf>
    <xf numFmtId="0" fontId="7" fillId="0" borderId="27" xfId="11" applyFont="1" applyFill="1" applyBorder="1" applyAlignment="1">
      <alignment horizontal="center" vertical="center"/>
    </xf>
    <xf numFmtId="0" fontId="36" fillId="0" borderId="36" xfId="11" applyFont="1" applyBorder="1" applyAlignment="1">
      <alignment horizontal="center" vertical="center"/>
    </xf>
    <xf numFmtId="0" fontId="36" fillId="0" borderId="15" xfId="11" applyFont="1" applyBorder="1" applyAlignment="1">
      <alignment horizontal="center" vertical="center"/>
    </xf>
    <xf numFmtId="0" fontId="36" fillId="0" borderId="50" xfId="11" applyFont="1" applyBorder="1" applyAlignment="1">
      <alignment horizontal="center" vertical="center"/>
    </xf>
    <xf numFmtId="0" fontId="36" fillId="0" borderId="16" xfId="11" applyFont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169" fontId="6" fillId="0" borderId="29" xfId="11" applyNumberFormat="1" applyFont="1" applyFill="1" applyBorder="1" applyAlignment="1">
      <alignment horizontal="center" vertical="center"/>
    </xf>
    <xf numFmtId="0" fontId="7" fillId="3" borderId="27" xfId="11" applyFont="1" applyFill="1" applyBorder="1" applyAlignment="1">
      <alignment horizontal="center" vertical="center" wrapText="1"/>
    </xf>
    <xf numFmtId="0" fontId="7" fillId="3" borderId="26" xfId="11" applyFont="1" applyFill="1" applyBorder="1" applyAlignment="1">
      <alignment horizontal="center" vertical="center" wrapText="1"/>
    </xf>
    <xf numFmtId="1" fontId="12" fillId="2" borderId="10" xfId="19" applyNumberFormat="1" applyFont="1" applyFill="1" applyBorder="1" applyAlignment="1" applyProtection="1">
      <alignment horizontal="center" vertical="center"/>
      <protection locked="0"/>
    </xf>
    <xf numFmtId="1" fontId="12" fillId="2" borderId="11" xfId="19" applyNumberFormat="1" applyFont="1" applyFill="1" applyBorder="1" applyAlignment="1" applyProtection="1">
      <alignment horizontal="center" vertical="center"/>
      <protection locked="0"/>
    </xf>
    <xf numFmtId="1" fontId="12" fillId="2" borderId="12" xfId="19" applyNumberFormat="1" applyFont="1" applyFill="1" applyBorder="1" applyAlignment="1" applyProtection="1">
      <alignment horizontal="center" vertical="center"/>
      <protection locked="0"/>
    </xf>
    <xf numFmtId="0" fontId="12" fillId="3" borderId="1" xfId="19" applyFont="1" applyFill="1" applyBorder="1" applyAlignment="1">
      <alignment horizontal="center" vertical="center" wrapText="1"/>
    </xf>
    <xf numFmtId="0" fontId="12" fillId="3" borderId="1" xfId="19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textRotation="90" wrapText="1"/>
    </xf>
    <xf numFmtId="0" fontId="50" fillId="0" borderId="11" xfId="19" applyFont="1" applyBorder="1" applyAlignment="1">
      <alignment horizontal="center" vertical="center"/>
    </xf>
    <xf numFmtId="0" fontId="51" fillId="0" borderId="2" xfId="19" applyFont="1" applyBorder="1" applyAlignment="1">
      <alignment horizontal="center" vertical="center" wrapText="1"/>
    </xf>
    <xf numFmtId="0" fontId="51" fillId="0" borderId="3" xfId="19" applyFont="1" applyBorder="1" applyAlignment="1">
      <alignment horizontal="center" vertical="center" wrapText="1"/>
    </xf>
    <xf numFmtId="0" fontId="51" fillId="0" borderId="4" xfId="19" applyFont="1" applyBorder="1" applyAlignment="1">
      <alignment horizontal="center" vertical="center" wrapText="1"/>
    </xf>
    <xf numFmtId="0" fontId="51" fillId="0" borderId="5" xfId="19" applyFont="1" applyBorder="1" applyAlignment="1">
      <alignment horizontal="center" vertical="center" wrapText="1"/>
    </xf>
    <xf numFmtId="0" fontId="51" fillId="0" borderId="0" xfId="19" applyFont="1" applyBorder="1" applyAlignment="1">
      <alignment horizontal="center" vertical="center" wrapText="1"/>
    </xf>
    <xf numFmtId="0" fontId="51" fillId="0" borderId="6" xfId="19" applyFont="1" applyBorder="1" applyAlignment="1">
      <alignment horizontal="center" vertical="center" wrapText="1"/>
    </xf>
    <xf numFmtId="0" fontId="51" fillId="0" borderId="7" xfId="19" applyFont="1" applyBorder="1" applyAlignment="1">
      <alignment horizontal="center" vertical="center" wrapText="1"/>
    </xf>
    <xf numFmtId="0" fontId="51" fillId="0" borderId="8" xfId="19" applyFont="1" applyBorder="1" applyAlignment="1">
      <alignment horizontal="center" vertical="center" wrapText="1"/>
    </xf>
    <xf numFmtId="0" fontId="51" fillId="0" borderId="9" xfId="19" applyFont="1" applyBorder="1" applyAlignment="1">
      <alignment horizontal="center" vertical="center" wrapText="1"/>
    </xf>
    <xf numFmtId="14" fontId="52" fillId="0" borderId="11" xfId="19" applyNumberFormat="1" applyFont="1" applyBorder="1" applyAlignment="1">
      <alignment horizontal="center" vertical="center"/>
    </xf>
    <xf numFmtId="0" fontId="52" fillId="0" borderId="11" xfId="19" applyFont="1" applyBorder="1" applyAlignment="1">
      <alignment horizontal="center" vertical="center"/>
    </xf>
    <xf numFmtId="0" fontId="51" fillId="0" borderId="1" xfId="19" applyFont="1" applyBorder="1" applyAlignment="1">
      <alignment horizontal="center" vertical="center"/>
    </xf>
    <xf numFmtId="17" fontId="51" fillId="0" borderId="1" xfId="19" applyNumberFormat="1" applyFont="1" applyBorder="1" applyAlignment="1">
      <alignment horizontal="center" vertical="center"/>
    </xf>
    <xf numFmtId="14" fontId="51" fillId="0" borderId="1" xfId="19" applyNumberFormat="1" applyFont="1" applyBorder="1" applyAlignment="1">
      <alignment horizontal="center" vertical="center"/>
    </xf>
    <xf numFmtId="0" fontId="7" fillId="0" borderId="11" xfId="19" applyFont="1" applyBorder="1" applyAlignment="1">
      <alignment horizontal="center" vertical="center" wrapText="1"/>
    </xf>
    <xf numFmtId="0" fontId="7" fillId="0" borderId="12" xfId="19" applyFont="1" applyBorder="1" applyAlignment="1">
      <alignment horizontal="center" vertical="center" wrapText="1"/>
    </xf>
    <xf numFmtId="2" fontId="12" fillId="0" borderId="10" xfId="4" applyNumberFormat="1" applyFont="1" applyFill="1" applyBorder="1" applyAlignment="1">
      <alignment horizontal="center" vertical="center"/>
    </xf>
    <xf numFmtId="2" fontId="12" fillId="0" borderId="11" xfId="4" applyNumberFormat="1" applyFont="1" applyFill="1" applyBorder="1" applyAlignment="1">
      <alignment horizontal="center" vertical="center"/>
    </xf>
    <xf numFmtId="2" fontId="12" fillId="0" borderId="12" xfId="4" applyNumberFormat="1" applyFont="1" applyFill="1" applyBorder="1" applyAlignment="1">
      <alignment horizontal="center" vertical="center"/>
    </xf>
    <xf numFmtId="10" fontId="12" fillId="0" borderId="10" xfId="4" applyNumberFormat="1" applyFont="1" applyFill="1" applyBorder="1" applyAlignment="1">
      <alignment horizontal="center"/>
    </xf>
    <xf numFmtId="10" fontId="12" fillId="0" borderId="11" xfId="4" applyNumberFormat="1" applyFont="1" applyFill="1" applyBorder="1" applyAlignment="1">
      <alignment horizontal="center"/>
    </xf>
    <xf numFmtId="10" fontId="12" fillId="0" borderId="12" xfId="4" applyNumberFormat="1" applyFont="1" applyFill="1" applyBorder="1" applyAlignment="1">
      <alignment horizontal="center"/>
    </xf>
    <xf numFmtId="2" fontId="12" fillId="0" borderId="1" xfId="4" applyNumberFormat="1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textRotation="90"/>
    </xf>
    <xf numFmtId="1" fontId="10" fillId="3" borderId="7" xfId="4" applyNumberFormat="1" applyFont="1" applyFill="1" applyBorder="1" applyAlignment="1">
      <alignment horizontal="left" vertical="center"/>
    </xf>
    <xf numFmtId="1" fontId="10" fillId="3" borderId="8" xfId="4" applyNumberFormat="1" applyFont="1" applyFill="1" applyBorder="1" applyAlignment="1">
      <alignment horizontal="left" vertical="center"/>
    </xf>
    <xf numFmtId="1" fontId="12" fillId="0" borderId="10" xfId="4" applyNumberFormat="1" applyFont="1" applyFill="1" applyBorder="1" applyAlignment="1">
      <alignment horizontal="center" vertical="center"/>
    </xf>
    <xf numFmtId="1" fontId="12" fillId="0" borderId="11" xfId="4" applyNumberFormat="1" applyFont="1" applyFill="1" applyBorder="1" applyAlignment="1">
      <alignment horizontal="center" vertical="center"/>
    </xf>
    <xf numFmtId="1" fontId="12" fillId="0" borderId="12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0" xfId="4" applyNumberFormat="1" applyFont="1" applyFill="1" applyBorder="1" applyAlignment="1">
      <alignment horizontal="center" vertical="center"/>
    </xf>
    <xf numFmtId="2" fontId="10" fillId="0" borderId="12" xfId="4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7" fontId="11" fillId="0" borderId="1" xfId="6" applyNumberFormat="1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1" fontId="10" fillId="2" borderId="1" xfId="4" applyNumberFormat="1" applyFont="1" applyFill="1" applyBorder="1" applyAlignment="1">
      <alignment horizontal="right" vertical="center" wrapText="1"/>
    </xf>
    <xf numFmtId="1" fontId="10" fillId="0" borderId="1" xfId="4" applyNumberFormat="1" applyFont="1" applyFill="1" applyBorder="1" applyAlignment="1">
      <alignment horizontal="right" vertical="center"/>
    </xf>
    <xf numFmtId="1" fontId="10" fillId="0" borderId="1" xfId="6" applyNumberFormat="1" applyFont="1" applyFill="1" applyBorder="1" applyAlignment="1">
      <alignment horizontal="right" vertical="center"/>
    </xf>
    <xf numFmtId="0" fontId="10" fillId="5" borderId="1" xfId="4" applyFont="1" applyFill="1" applyBorder="1" applyAlignment="1">
      <alignment horizontal="center"/>
    </xf>
    <xf numFmtId="1" fontId="10" fillId="0" borderId="1" xfId="4" applyNumberFormat="1" applyFont="1" applyFill="1" applyBorder="1" applyAlignment="1">
      <alignment horizontal="right" vertical="center" wrapText="1"/>
    </xf>
    <xf numFmtId="0" fontId="11" fillId="5" borderId="10" xfId="17" applyFont="1" applyFill="1" applyBorder="1" applyAlignment="1">
      <alignment horizontal="center" vertical="center" wrapText="1"/>
    </xf>
    <xf numFmtId="0" fontId="11" fillId="5" borderId="11" xfId="17" applyFont="1" applyFill="1" applyBorder="1" applyAlignment="1">
      <alignment horizontal="center" vertical="center" wrapText="1"/>
    </xf>
    <xf numFmtId="0" fontId="11" fillId="5" borderId="12" xfId="17" applyFont="1" applyFill="1" applyBorder="1" applyAlignment="1">
      <alignment horizontal="center" vertical="center" wrapText="1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1" fontId="11" fillId="0" borderId="12" xfId="4" applyNumberFormat="1" applyFont="1" applyFill="1" applyBorder="1" applyAlignment="1">
      <alignment horizontal="right" vertical="center"/>
    </xf>
    <xf numFmtId="0" fontId="11" fillId="5" borderId="7" xfId="17" applyFont="1" applyFill="1" applyBorder="1" applyAlignment="1">
      <alignment horizontal="center" wrapText="1"/>
    </xf>
    <xf numFmtId="0" fontId="11" fillId="5" borderId="8" xfId="17" applyFont="1" applyFill="1" applyBorder="1" applyAlignment="1">
      <alignment horizontal="center" wrapText="1"/>
    </xf>
    <xf numFmtId="0" fontId="11" fillId="5" borderId="9" xfId="17" applyFont="1" applyFill="1" applyBorder="1" applyAlignment="1">
      <alignment horizontal="center" wrapText="1"/>
    </xf>
    <xf numFmtId="0" fontId="8" fillId="0" borderId="11" xfId="17" applyFont="1" applyFill="1" applyBorder="1" applyAlignment="1">
      <alignment horizontal="center" vertical="center" wrapText="1"/>
    </xf>
    <xf numFmtId="0" fontId="8" fillId="0" borderId="12" xfId="17" applyFont="1" applyFill="1" applyBorder="1" applyAlignment="1">
      <alignment horizontal="center" vertical="center" wrapText="1"/>
    </xf>
    <xf numFmtId="0" fontId="11" fillId="0" borderId="11" xfId="17" applyFont="1" applyBorder="1" applyAlignment="1">
      <alignment horizontal="center" vertical="center"/>
    </xf>
    <xf numFmtId="0" fontId="11" fillId="0" borderId="12" xfId="17" applyFont="1" applyBorder="1" applyAlignment="1">
      <alignment horizontal="center" vertical="center"/>
    </xf>
    <xf numFmtId="0" fontId="11" fillId="0" borderId="11" xfId="18" applyFont="1" applyBorder="1" applyAlignment="1">
      <alignment horizontal="center" vertical="center"/>
    </xf>
    <xf numFmtId="0" fontId="11" fillId="0" borderId="12" xfId="18" applyFont="1" applyBorder="1" applyAlignment="1">
      <alignment horizontal="center" vertical="center"/>
    </xf>
    <xf numFmtId="0" fontId="6" fillId="0" borderId="2" xfId="17" applyFont="1" applyFill="1" applyBorder="1" applyAlignment="1">
      <alignment horizontal="center"/>
    </xf>
    <xf numFmtId="0" fontId="6" fillId="0" borderId="3" xfId="17" applyFont="1" applyFill="1" applyBorder="1" applyAlignment="1">
      <alignment horizontal="center"/>
    </xf>
    <xf numFmtId="0" fontId="6" fillId="0" borderId="4" xfId="17" applyFont="1" applyFill="1" applyBorder="1" applyAlignment="1">
      <alignment horizontal="center"/>
    </xf>
    <xf numFmtId="0" fontId="6" fillId="0" borderId="5" xfId="17" applyFont="1" applyFill="1" applyBorder="1" applyAlignment="1">
      <alignment horizontal="center"/>
    </xf>
    <xf numFmtId="0" fontId="6" fillId="0" borderId="0" xfId="17" applyFont="1" applyFill="1" applyBorder="1" applyAlignment="1">
      <alignment horizontal="center"/>
    </xf>
    <xf numFmtId="0" fontId="6" fillId="0" borderId="6" xfId="17" applyFont="1" applyFill="1" applyBorder="1" applyAlignment="1">
      <alignment horizontal="center"/>
    </xf>
    <xf numFmtId="0" fontId="6" fillId="0" borderId="7" xfId="17" applyFont="1" applyFill="1" applyBorder="1" applyAlignment="1">
      <alignment horizontal="center"/>
    </xf>
    <xf numFmtId="0" fontId="6" fillId="0" borderId="8" xfId="17" applyFont="1" applyFill="1" applyBorder="1" applyAlignment="1">
      <alignment horizontal="center"/>
    </xf>
    <xf numFmtId="0" fontId="6" fillId="0" borderId="9" xfId="17" applyFont="1" applyFill="1" applyBorder="1" applyAlignment="1">
      <alignment horizontal="center"/>
    </xf>
    <xf numFmtId="1" fontId="11" fillId="0" borderId="1" xfId="4" applyNumberFormat="1" applyFont="1" applyFill="1" applyBorder="1" applyAlignment="1">
      <alignment horizontal="right" vertical="center"/>
    </xf>
    <xf numFmtId="2" fontId="11" fillId="0" borderId="10" xfId="4" applyNumberFormat="1" applyFont="1" applyFill="1" applyBorder="1" applyAlignment="1">
      <alignment horizontal="right"/>
    </xf>
    <xf numFmtId="2" fontId="11" fillId="0" borderId="11" xfId="4" applyNumberFormat="1" applyFont="1" applyFill="1" applyBorder="1" applyAlignment="1">
      <alignment horizontal="right"/>
    </xf>
    <xf numFmtId="2" fontId="11" fillId="0" borderId="12" xfId="4" applyNumberFormat="1" applyFont="1" applyFill="1" applyBorder="1" applyAlignment="1">
      <alignment horizontal="right"/>
    </xf>
    <xf numFmtId="0" fontId="11" fillId="5" borderId="10" xfId="17" applyFont="1" applyFill="1" applyBorder="1" applyAlignment="1">
      <alignment horizontal="center"/>
    </xf>
    <xf numFmtId="0" fontId="11" fillId="5" borderId="11" xfId="17" applyFont="1" applyFill="1" applyBorder="1" applyAlignment="1">
      <alignment horizontal="center"/>
    </xf>
    <xf numFmtId="0" fontId="11" fillId="5" borderId="12" xfId="17" applyFont="1" applyFill="1" applyBorder="1" applyAlignment="1">
      <alignment horizontal="center"/>
    </xf>
    <xf numFmtId="2" fontId="11" fillId="0" borderId="1" xfId="4" applyNumberFormat="1" applyFont="1" applyFill="1" applyBorder="1" applyAlignment="1">
      <alignment horizontal="right"/>
    </xf>
    <xf numFmtId="0" fontId="11" fillId="5" borderId="1" xfId="17" applyFont="1" applyFill="1" applyBorder="1" applyAlignment="1">
      <alignment horizontal="center" wrapText="1"/>
    </xf>
    <xf numFmtId="1" fontId="11" fillId="0" borderId="1" xfId="17" applyNumberFormat="1" applyFont="1" applyFill="1" applyBorder="1" applyAlignment="1">
      <alignment horizontal="right" vertical="center"/>
    </xf>
    <xf numFmtId="2" fontId="11" fillId="0" borderId="1" xfId="18" applyNumberFormat="1" applyFont="1" applyBorder="1" applyAlignment="1">
      <alignment horizontal="center" vertical="center"/>
    </xf>
    <xf numFmtId="17" fontId="11" fillId="0" borderId="1" xfId="18" applyNumberFormat="1" applyFont="1" applyBorder="1" applyAlignment="1">
      <alignment horizontal="center"/>
    </xf>
    <xf numFmtId="0" fontId="11" fillId="5" borderId="1" xfId="17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8" fillId="0" borderId="1" xfId="18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/>
    </xf>
    <xf numFmtId="0" fontId="63" fillId="3" borderId="2" xfId="0" applyFont="1" applyFill="1" applyBorder="1" applyAlignment="1">
      <alignment horizontal="left" vertical="top" wrapText="1"/>
    </xf>
    <xf numFmtId="0" fontId="63" fillId="3" borderId="3" xfId="0" applyFont="1" applyFill="1" applyBorder="1" applyAlignment="1">
      <alignment horizontal="left" vertical="top" wrapText="1"/>
    </xf>
    <xf numFmtId="0" fontId="63" fillId="3" borderId="4" xfId="0" applyFont="1" applyFill="1" applyBorder="1" applyAlignment="1">
      <alignment horizontal="left" vertical="top" wrapText="1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4" fillId="8" borderId="2" xfId="0" applyFont="1" applyFill="1" applyBorder="1" applyAlignment="1">
      <alignment horizontal="center"/>
    </xf>
    <xf numFmtId="0" fontId="14" fillId="8" borderId="3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14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4" fillId="0" borderId="30" xfId="0" applyFont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0" fontId="18" fillId="0" borderId="1" xfId="3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/>
    </xf>
    <xf numFmtId="0" fontId="55" fillId="5" borderId="1" xfId="0" applyFont="1" applyFill="1" applyBorder="1" applyAlignment="1">
      <alignment horizontal="center" vertical="center" wrapText="1"/>
    </xf>
    <xf numFmtId="0" fontId="55" fillId="5" borderId="10" xfId="0" applyFont="1" applyFill="1" applyBorder="1" applyAlignment="1">
      <alignment horizontal="center" vertical="center" wrapText="1"/>
    </xf>
    <xf numFmtId="0" fontId="55" fillId="5" borderId="11" xfId="0" applyFont="1" applyFill="1" applyBorder="1" applyAlignment="1">
      <alignment horizontal="center" vertical="center" wrapText="1"/>
    </xf>
    <xf numFmtId="0" fontId="55" fillId="5" borderId="12" xfId="0" applyFont="1" applyFill="1" applyBorder="1" applyAlignment="1">
      <alignment horizontal="center" vertical="center" wrapText="1"/>
    </xf>
    <xf numFmtId="17" fontId="56" fillId="0" borderId="1" xfId="0" applyNumberFormat="1" applyFont="1" applyBorder="1" applyAlignment="1">
      <alignment horizontal="center" vertical="center" wrapText="1"/>
    </xf>
    <xf numFmtId="17" fontId="56" fillId="0" borderId="1" xfId="0" applyNumberFormat="1" applyFont="1" applyBorder="1" applyAlignment="1">
      <alignment horizontal="center" vertical="center"/>
    </xf>
    <xf numFmtId="14" fontId="56" fillId="0" borderId="1" xfId="0" applyNumberFormat="1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9" fontId="45" fillId="0" borderId="0" xfId="0" applyNumberFormat="1" applyFont="1" applyAlignment="1">
      <alignment horizontal="center"/>
    </xf>
    <xf numFmtId="169" fontId="45" fillId="0" borderId="0" xfId="0" applyNumberFormat="1" applyFont="1" applyAlignment="1">
      <alignment horizontal="right"/>
    </xf>
    <xf numFmtId="169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right"/>
    </xf>
    <xf numFmtId="169" fontId="0" fillId="0" borderId="8" xfId="0" applyNumberFormat="1" applyBorder="1" applyAlignment="1">
      <alignment horizontal="right"/>
    </xf>
    <xf numFmtId="171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71" fontId="45" fillId="0" borderId="0" xfId="0" applyNumberFormat="1" applyFont="1" applyAlignment="1">
      <alignment horizontal="right"/>
    </xf>
    <xf numFmtId="0" fontId="45" fillId="0" borderId="0" xfId="0" applyFont="1" applyAlignment="1">
      <alignment horizontal="right"/>
    </xf>
    <xf numFmtId="171" fontId="45" fillId="6" borderId="0" xfId="0" applyNumberFormat="1" applyFont="1" applyFill="1" applyAlignment="1">
      <alignment horizontal="right"/>
    </xf>
    <xf numFmtId="0" fontId="45" fillId="6" borderId="0" xfId="0" applyFont="1" applyFill="1" applyAlignment="1">
      <alignment horizontal="right"/>
    </xf>
    <xf numFmtId="169" fontId="45" fillId="0" borderId="3" xfId="0" applyNumberFormat="1" applyFont="1" applyBorder="1" applyAlignment="1">
      <alignment horizontal="center"/>
    </xf>
    <xf numFmtId="169" fontId="45" fillId="0" borderId="0" xfId="0" applyNumberFormat="1" applyFont="1" applyBorder="1" applyAlignment="1">
      <alignment horizontal="center"/>
    </xf>
    <xf numFmtId="169" fontId="45" fillId="6" borderId="0" xfId="0" applyNumberFormat="1" applyFont="1" applyFill="1" applyAlignment="1">
      <alignment horizontal="center"/>
    </xf>
    <xf numFmtId="171" fontId="45" fillId="0" borderId="0" xfId="0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17" fontId="29" fillId="2" borderId="25" xfId="0" applyNumberFormat="1" applyFont="1" applyFill="1" applyBorder="1" applyAlignment="1">
      <alignment horizontal="center"/>
    </xf>
    <xf numFmtId="17" fontId="29" fillId="2" borderId="59" xfId="0" applyNumberFormat="1" applyFont="1" applyFill="1" applyBorder="1" applyAlignment="1">
      <alignment horizontal="center"/>
    </xf>
    <xf numFmtId="17" fontId="29" fillId="2" borderId="30" xfId="0" applyNumberFormat="1" applyFont="1" applyFill="1" applyBorder="1" applyAlignment="1">
      <alignment horizontal="center"/>
    </xf>
    <xf numFmtId="17" fontId="67" fillId="2" borderId="10" xfId="0" applyNumberFormat="1" applyFont="1" applyFill="1" applyBorder="1" applyAlignment="1">
      <alignment horizontal="left" vertical="center"/>
    </xf>
    <xf numFmtId="17" fontId="67" fillId="2" borderId="11" xfId="0" applyNumberFormat="1" applyFont="1" applyFill="1" applyBorder="1" applyAlignment="1">
      <alignment horizontal="left" vertical="center"/>
    </xf>
    <xf numFmtId="17" fontId="67" fillId="2" borderId="12" xfId="0" applyNumberFormat="1" applyFont="1" applyFill="1" applyBorder="1" applyAlignment="1">
      <alignment horizontal="left" vertical="center"/>
    </xf>
    <xf numFmtId="0" fontId="67" fillId="0" borderId="10" xfId="8" applyFont="1" applyBorder="1" applyAlignment="1">
      <alignment horizontal="left"/>
    </xf>
    <xf numFmtId="0" fontId="67" fillId="0" borderId="11" xfId="8" applyFont="1" applyBorder="1" applyAlignment="1">
      <alignment horizontal="left"/>
    </xf>
    <xf numFmtId="0" fontId="67" fillId="0" borderId="12" xfId="8" applyFont="1" applyBorder="1" applyAlignment="1">
      <alignment horizontal="left"/>
    </xf>
    <xf numFmtId="49" fontId="34" fillId="5" borderId="67" xfId="4" applyNumberFormat="1" applyFont="1" applyFill="1" applyBorder="1" applyAlignment="1">
      <alignment horizontal="center" vertical="center"/>
    </xf>
    <xf numFmtId="49" fontId="34" fillId="5" borderId="68" xfId="4" applyNumberFormat="1" applyFont="1" applyFill="1" applyBorder="1" applyAlignment="1">
      <alignment horizontal="center" vertical="center"/>
    </xf>
    <xf numFmtId="0" fontId="0" fillId="2" borderId="69" xfId="0" applyFont="1" applyFill="1" applyBorder="1" applyAlignment="1">
      <alignment horizontal="center" vertical="center"/>
    </xf>
    <xf numFmtId="0" fontId="0" fillId="2" borderId="64" xfId="0" applyFont="1" applyFill="1" applyBorder="1" applyAlignment="1">
      <alignment horizontal="center" vertical="center"/>
    </xf>
    <xf numFmtId="0" fontId="0" fillId="2" borderId="70" xfId="0" applyFont="1" applyFill="1" applyBorder="1" applyAlignment="1">
      <alignment horizontal="center" vertical="center"/>
    </xf>
    <xf numFmtId="0" fontId="0" fillId="2" borderId="65" xfId="0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 vertical="center"/>
    </xf>
    <xf numFmtId="0" fontId="0" fillId="2" borderId="66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</cellXfs>
  <cellStyles count="25">
    <cellStyle name="Hiperlink" xfId="24" builtinId="8"/>
    <cellStyle name="Hiperlink 2" xfId="8" xr:uid="{00000000-0005-0000-0000-000001000000}"/>
    <cellStyle name="Moeda" xfId="1" builtinId="4"/>
    <cellStyle name="Moeda 2" xfId="14" xr:uid="{00000000-0005-0000-0000-000003000000}"/>
    <cellStyle name="Moeda 3" xfId="15" xr:uid="{00000000-0005-0000-0000-000004000000}"/>
    <cellStyle name="Moeda 4" xfId="22" xr:uid="{00000000-0005-0000-0000-000005000000}"/>
    <cellStyle name="Normal" xfId="0" builtinId="0"/>
    <cellStyle name="Normal 2" xfId="4" xr:uid="{00000000-0005-0000-0000-000007000000}"/>
    <cellStyle name="Normal 3" xfId="6" xr:uid="{00000000-0005-0000-0000-000008000000}"/>
    <cellStyle name="Normal 3 2" xfId="7" xr:uid="{00000000-0005-0000-0000-000009000000}"/>
    <cellStyle name="Normal 3 2 2" xfId="18" xr:uid="{00000000-0005-0000-0000-00000A000000}"/>
    <cellStyle name="Normal 3 3" xfId="10" xr:uid="{00000000-0005-0000-0000-00000B000000}"/>
    <cellStyle name="Normal 4" xfId="11" xr:uid="{00000000-0005-0000-0000-00000C000000}"/>
    <cellStyle name="Normal 4 2" xfId="17" xr:uid="{00000000-0005-0000-0000-00000D000000}"/>
    <cellStyle name="Normal 5" xfId="19" xr:uid="{00000000-0005-0000-0000-00000E000000}"/>
    <cellStyle name="Porcentagem" xfId="3" builtinId="5"/>
    <cellStyle name="Porcentagem 2" xfId="13" xr:uid="{00000000-0005-0000-0000-000010000000}"/>
    <cellStyle name="Porcentagem 3" xfId="21" xr:uid="{00000000-0005-0000-0000-000011000000}"/>
    <cellStyle name="Separador de milhares 2" xfId="5" xr:uid="{00000000-0005-0000-0000-000012000000}"/>
    <cellStyle name="Vírgula" xfId="2" builtinId="3"/>
    <cellStyle name="Vírgula 2" xfId="12" xr:uid="{00000000-0005-0000-0000-000014000000}"/>
    <cellStyle name="Vírgula 3" xfId="16" xr:uid="{00000000-0005-0000-0000-000015000000}"/>
    <cellStyle name="Vírgula 3 2" xfId="9" xr:uid="{00000000-0005-0000-0000-000016000000}"/>
    <cellStyle name="Vírgula 4" xfId="20" xr:uid="{00000000-0005-0000-0000-000017000000}"/>
    <cellStyle name="Vírgula 5" xfId="23" xr:uid="{00000000-0005-0000-0000-000018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wmf"/><Relationship Id="rId1" Type="http://schemas.openxmlformats.org/officeDocument/2006/relationships/image" Target="../media/image3.wmf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1</xdr:row>
      <xdr:rowOff>40821</xdr:rowOff>
    </xdr:from>
    <xdr:to>
      <xdr:col>0</xdr:col>
      <xdr:colOff>979138</xdr:colOff>
      <xdr:row>4</xdr:row>
      <xdr:rowOff>4401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938317" cy="861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2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0</xdr:row>
      <xdr:rowOff>66675</xdr:rowOff>
    </xdr:from>
    <xdr:to>
      <xdr:col>0</xdr:col>
      <xdr:colOff>1332767</xdr:colOff>
      <xdr:row>2</xdr:row>
      <xdr:rowOff>146877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0</xdr:col>
      <xdr:colOff>999392</xdr:colOff>
      <xdr:row>2</xdr:row>
      <xdr:rowOff>159301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100"/>
          <a:ext cx="827942" cy="759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66676</xdr:colOff>
      <xdr:row>0</xdr:row>
      <xdr:rowOff>114300</xdr:rowOff>
    </xdr:from>
    <xdr:to>
      <xdr:col>4</xdr:col>
      <xdr:colOff>1609725</xdr:colOff>
      <xdr:row>2</xdr:row>
      <xdr:rowOff>62576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1" y="114300"/>
          <a:ext cx="1543049" cy="776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38099</xdr:colOff>
      <xdr:row>0</xdr:row>
      <xdr:rowOff>47624</xdr:rowOff>
    </xdr:from>
    <xdr:to>
      <xdr:col>0</xdr:col>
      <xdr:colOff>1049308</xdr:colOff>
      <xdr:row>2</xdr:row>
      <xdr:rowOff>142874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47624"/>
          <a:ext cx="1011209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0</xdr:col>
      <xdr:colOff>953364</xdr:colOff>
      <xdr:row>2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934314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28575</xdr:rowOff>
    </xdr:from>
    <xdr:to>
      <xdr:col>0</xdr:col>
      <xdr:colOff>960729</xdr:colOff>
      <xdr:row>2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8575"/>
          <a:ext cx="938317" cy="860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26378</xdr:colOff>
      <xdr:row>0</xdr:row>
      <xdr:rowOff>35902</xdr:rowOff>
    </xdr:from>
    <xdr:to>
      <xdr:col>0</xdr:col>
      <xdr:colOff>770520</xdr:colOff>
      <xdr:row>2</xdr:row>
      <xdr:rowOff>139212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78" y="35902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42</xdr:row>
      <xdr:rowOff>19050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96025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</xdr:row>
      <xdr:rowOff>66675</xdr:rowOff>
    </xdr:from>
    <xdr:to>
      <xdr:col>0</xdr:col>
      <xdr:colOff>0</xdr:colOff>
      <xdr:row>42</xdr:row>
      <xdr:rowOff>95250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0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</xdr:row>
      <xdr:rowOff>28575</xdr:rowOff>
    </xdr:from>
    <xdr:to>
      <xdr:col>1</xdr:col>
      <xdr:colOff>342900</xdr:colOff>
      <xdr:row>2</xdr:row>
      <xdr:rowOff>304800</xdr:rowOff>
    </xdr:to>
    <xdr:pic>
      <xdr:nvPicPr>
        <xdr:cNvPr id="4" name="Picture 30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7143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14</xdr:row>
      <xdr:rowOff>28723</xdr:rowOff>
    </xdr:from>
    <xdr:to>
      <xdr:col>10</xdr:col>
      <xdr:colOff>304800</xdr:colOff>
      <xdr:row>36</xdr:row>
      <xdr:rowOff>142874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2248048"/>
          <a:ext cx="4829175" cy="3676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19049</xdr:colOff>
      <xdr:row>44</xdr:row>
      <xdr:rowOff>46228</xdr:rowOff>
    </xdr:from>
    <xdr:to>
      <xdr:col>10</xdr:col>
      <xdr:colOff>285750</xdr:colOff>
      <xdr:row>66</xdr:row>
      <xdr:rowOff>133349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7094728"/>
          <a:ext cx="4781551" cy="3649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36797</xdr:rowOff>
    </xdr:from>
    <xdr:to>
      <xdr:col>5</xdr:col>
      <xdr:colOff>177135</xdr:colOff>
      <xdr:row>2</xdr:row>
      <xdr:rowOff>323850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6797"/>
          <a:ext cx="1043910" cy="9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22985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013460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146540</xdr:colOff>
      <xdr:row>0</xdr:row>
      <xdr:rowOff>21981</xdr:rowOff>
    </xdr:from>
    <xdr:to>
      <xdr:col>5</xdr:col>
      <xdr:colOff>139213</xdr:colOff>
      <xdr:row>2</xdr:row>
      <xdr:rowOff>148343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0" y="21981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256442</xdr:colOff>
      <xdr:row>2</xdr:row>
      <xdr:rowOff>126362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43890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34365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14653</xdr:colOff>
      <xdr:row>0</xdr:row>
      <xdr:rowOff>36634</xdr:rowOff>
    </xdr:from>
    <xdr:to>
      <xdr:col>2</xdr:col>
      <xdr:colOff>231257</xdr:colOff>
      <xdr:row>2</xdr:row>
      <xdr:rowOff>139944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3" y="36634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99\e\Users\usuario\Desktop\02%20-%20ALTERA&#199;&#213;ES%20CAIXA_180219\PROJETO%20II%20-%20VILA%20CONCEI&#199;&#195;O\PLANILHA%20PROJETO%20II_0102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UA%20FRANCISCO%20CONSTANTINO%20DE%20OLIVEIRA%20-%20PAVIMENTA&#199;&#195;O\PLANILHA%20OR&#199;AMENTARIA_MR%20466%20V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ORÇAMENTARIA"/>
      <sheetName val="Cronograma"/>
      <sheetName val="MEMORIAL DE CAL - PRAÇA SRA"/>
      <sheetName val="MEMORIAL DE CAL - PR TRECHO A"/>
      <sheetName val="MEMORIAL DE CAL - PR TRECHO B"/>
      <sheetName val="BDI"/>
      <sheetName val="PESQUISA"/>
      <sheetName val="COMPOSIÇÕES"/>
    </sheetNames>
    <sheetDataSet>
      <sheetData sheetId="0"/>
      <sheetData sheetId="1"/>
      <sheetData sheetId="2"/>
      <sheetData sheetId="3"/>
      <sheetData sheetId="4"/>
      <sheetData sheetId="5">
        <row r="17">
          <cell r="Q17">
            <v>0.03</v>
          </cell>
          <cell r="R17">
            <v>3.7999999999999999E-2</v>
          </cell>
          <cell r="S17">
            <v>3.4299999999999997E-2</v>
          </cell>
          <cell r="T17">
            <v>5.2900000000000003E-2</v>
          </cell>
          <cell r="U17">
            <v>0.04</v>
          </cell>
          <cell r="V17">
            <v>1.4999999999999999E-2</v>
          </cell>
        </row>
        <row r="18">
          <cell r="Q18">
            <v>8.0000000000000002E-3</v>
          </cell>
          <cell r="R18">
            <v>3.2000000000000002E-3</v>
          </cell>
          <cell r="S18">
            <v>2.8E-3</v>
          </cell>
          <cell r="T18">
            <v>2.5000000000000001E-3</v>
          </cell>
          <cell r="U18">
            <v>8.0999999999999996E-3</v>
          </cell>
          <cell r="V18">
            <v>3.0000000000000001E-3</v>
          </cell>
        </row>
        <row r="19">
          <cell r="Q19">
            <v>9.7000000000000003E-3</v>
          </cell>
          <cell r="R19">
            <v>5.0000000000000001E-3</v>
          </cell>
          <cell r="S19">
            <v>0.01</v>
          </cell>
          <cell r="T19">
            <v>0.01</v>
          </cell>
          <cell r="U19">
            <v>1.46E-2</v>
          </cell>
          <cell r="V19">
            <v>5.5999999999999999E-3</v>
          </cell>
        </row>
        <row r="20">
          <cell r="Q20">
            <v>5.8999999999999999E-3</v>
          </cell>
          <cell r="R20">
            <v>1.0200000000000001E-2</v>
          </cell>
          <cell r="S20">
            <v>9.4000000000000004E-3</v>
          </cell>
          <cell r="T20">
            <v>1.01E-2</v>
          </cell>
          <cell r="U20">
            <v>9.4000000000000004E-3</v>
          </cell>
          <cell r="V20">
            <v>8.5000000000000006E-3</v>
          </cell>
        </row>
        <row r="21">
          <cell r="Q21">
            <v>6.1600000000000002E-2</v>
          </cell>
          <cell r="R21">
            <v>6.6400000000000001E-2</v>
          </cell>
          <cell r="S21">
            <v>6.7400000000000002E-2</v>
          </cell>
          <cell r="T21">
            <v>0.08</v>
          </cell>
          <cell r="U21">
            <v>7.1400000000000005E-2</v>
          </cell>
          <cell r="V21">
            <v>3.5000000000000003E-2</v>
          </cell>
        </row>
        <row r="23">
          <cell r="Q23">
            <v>5.5E-2</v>
          </cell>
          <cell r="R23">
            <v>4.6699999999999998E-2</v>
          </cell>
          <cell r="S23">
            <v>6.7100000000000007E-2</v>
          </cell>
          <cell r="T23">
            <v>7.9299999999999995E-2</v>
          </cell>
          <cell r="U23">
            <v>7.85E-2</v>
          </cell>
          <cell r="V23">
            <v>4.4900000000000002E-2</v>
          </cell>
        </row>
        <row r="24">
          <cell r="Q24">
            <v>0.01</v>
          </cell>
          <cell r="R24">
            <v>7.4000000000000003E-3</v>
          </cell>
          <cell r="S24">
            <v>7.4999999999999997E-3</v>
          </cell>
          <cell r="T24">
            <v>5.5999999999999999E-3</v>
          </cell>
          <cell r="U24">
            <v>1.9900000000000001E-2</v>
          </cell>
          <cell r="V24">
            <v>8.2000000000000007E-3</v>
          </cell>
        </row>
        <row r="25">
          <cell r="Q25">
            <v>1.2699999999999999E-2</v>
          </cell>
          <cell r="R25">
            <v>9.7000000000000003E-3</v>
          </cell>
          <cell r="S25">
            <v>1.7399999999999999E-2</v>
          </cell>
          <cell r="T25">
            <v>1.9699999999999999E-2</v>
          </cell>
          <cell r="U25">
            <v>3.1600000000000003E-2</v>
          </cell>
          <cell r="V25">
            <v>8.8999999999999999E-3</v>
          </cell>
        </row>
        <row r="26">
          <cell r="Q26">
            <v>1.3899999999999999E-2</v>
          </cell>
          <cell r="R26">
            <v>1.21E-2</v>
          </cell>
          <cell r="S26">
            <v>1.17E-2</v>
          </cell>
          <cell r="T26">
            <v>1.11E-2</v>
          </cell>
          <cell r="U26">
            <v>1.3299999999999999E-2</v>
          </cell>
          <cell r="V26">
            <v>1.11E-2</v>
          </cell>
        </row>
        <row r="27">
          <cell r="Q27">
            <v>8.9599999999999999E-2</v>
          </cell>
          <cell r="R27">
            <v>8.6900000000000005E-2</v>
          </cell>
          <cell r="S27">
            <v>9.4E-2</v>
          </cell>
          <cell r="T27">
            <v>9.5100000000000004E-2</v>
          </cell>
          <cell r="U27">
            <v>0.1043</v>
          </cell>
          <cell r="V27">
            <v>6.2199999999999998E-2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MEMORIAL CÁLCULO"/>
      <sheetName val="INDICE DE REAJUSTE "/>
      <sheetName val="AQUISIÇÃO MATERIAL BETUMINOSO"/>
      <sheetName val="Cronograma"/>
      <sheetName val="BDI"/>
      <sheetName val="COMPOSIÇÕES"/>
      <sheetName val="PESQUI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np.gov.br/precos-e-defesa-da-concorrencia/precos/precos-de-distribuica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8"/>
  <sheetViews>
    <sheetView showGridLines="0" tabSelected="1" view="pageBreakPreview" zoomScale="55" zoomScaleNormal="55" zoomScaleSheetLayoutView="55" workbookViewId="0">
      <pane ySplit="8" topLeftCell="A9" activePane="bottomLeft" state="frozen"/>
      <selection activeCell="C26" sqref="C26"/>
      <selection pane="bottomLeft" activeCell="K19" sqref="K19"/>
    </sheetView>
  </sheetViews>
  <sheetFormatPr defaultRowHeight="14.4"/>
  <cols>
    <col min="1" max="1" width="15.109375" customWidth="1"/>
    <col min="2" max="2" width="74" customWidth="1"/>
    <col min="3" max="3" width="12.44140625" customWidth="1"/>
    <col min="4" max="4" width="12.5546875" bestFit="1" customWidth="1"/>
    <col min="5" max="5" width="18.109375" hidden="1" customWidth="1"/>
    <col min="6" max="6" width="18.109375" style="196" hidden="1" customWidth="1"/>
    <col min="7" max="8" width="14.6640625" customWidth="1"/>
    <col min="9" max="9" width="16.6640625" bestFit="1" customWidth="1"/>
    <col min="10" max="10" width="17.33203125" bestFit="1" customWidth="1"/>
    <col min="11" max="11" width="15.88671875" style="1" bestFit="1" customWidth="1"/>
    <col min="12" max="12" width="13.109375" style="1" customWidth="1"/>
    <col min="13" max="13" width="14.44140625" style="84" bestFit="1" customWidth="1"/>
    <col min="14" max="14" width="15.5546875" style="84" customWidth="1"/>
    <col min="15" max="15" width="9.109375" style="17"/>
    <col min="16" max="16" width="11.5546875" bestFit="1" customWidth="1"/>
    <col min="17" max="18" width="9.33203125" bestFit="1" customWidth="1"/>
    <col min="19" max="19" width="8.6640625" bestFit="1" customWidth="1"/>
    <col min="20" max="20" width="12.33203125" bestFit="1" customWidth="1"/>
    <col min="21" max="21" width="12.6640625" bestFit="1" customWidth="1"/>
    <col min="22" max="22" width="16.44140625" bestFit="1" customWidth="1"/>
  </cols>
  <sheetData>
    <row r="1" spans="1:18" s="677" customFormat="1" ht="33.6">
      <c r="A1" s="688" t="s">
        <v>737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9"/>
      <c r="N1" s="675"/>
      <c r="O1" s="675"/>
      <c r="P1" s="675"/>
      <c r="Q1" s="676"/>
    </row>
    <row r="2" spans="1:18" ht="39.75" customHeight="1">
      <c r="A2" s="707"/>
      <c r="B2" s="678" t="s">
        <v>0</v>
      </c>
      <c r="C2" s="690" t="s">
        <v>738</v>
      </c>
      <c r="D2" s="691"/>
      <c r="E2" s="691"/>
      <c r="F2" s="691"/>
      <c r="G2" s="691"/>
      <c r="H2" s="691"/>
      <c r="I2" s="691"/>
      <c r="J2" s="691"/>
      <c r="K2" s="691"/>
      <c r="L2" s="692"/>
      <c r="M2" s="74"/>
      <c r="N2" s="74"/>
    </row>
    <row r="3" spans="1:18" s="397" customFormat="1" ht="15.6">
      <c r="A3" s="707"/>
      <c r="B3" s="448" t="str">
        <f>PAVIM.!$G$2</f>
        <v>PREFEITURA MUNICIPAL DE MARACAJÁ</v>
      </c>
      <c r="C3" s="704" t="str">
        <f>PAVIM.!$I$2</f>
        <v>BAIRRO: VILA BEATRIZ</v>
      </c>
      <c r="D3" s="704"/>
      <c r="E3" s="704"/>
      <c r="F3" s="704"/>
      <c r="G3" s="704"/>
      <c r="H3" s="705" t="str">
        <f>PAVIM.!$K$2</f>
        <v>MUNICIPIO: MARACAJÁ</v>
      </c>
      <c r="I3" s="705"/>
      <c r="J3" s="704" t="str">
        <f>PAVIM.!$M$2</f>
        <v>ESTADO: SANTA CATARINA</v>
      </c>
      <c r="K3" s="704"/>
      <c r="L3" s="704"/>
      <c r="M3" s="444"/>
      <c r="N3" s="444"/>
      <c r="O3" s="445"/>
    </row>
    <row r="4" spans="1:18" s="397" customFormat="1" ht="15.6">
      <c r="A4" s="707"/>
      <c r="B4" s="704" t="str">
        <f>PAVIM.!G3</f>
        <v>RUA JOSÉ MARQUES, RUA VEREADOR FLÁVIO ROCHA, RUA 156 e RUA CRICIÚMA</v>
      </c>
      <c r="C4" s="704"/>
      <c r="D4" s="704"/>
      <c r="E4" s="704"/>
      <c r="F4" s="704"/>
      <c r="G4" s="704"/>
      <c r="H4" s="704"/>
      <c r="I4" s="704"/>
      <c r="J4" s="706" t="str">
        <f ca="1">PAVIM.!$M$3</f>
        <v>DATA: 15/10/24</v>
      </c>
      <c r="K4" s="706"/>
      <c r="L4" s="706"/>
      <c r="M4" s="444"/>
      <c r="N4" s="444"/>
      <c r="O4" s="445"/>
    </row>
    <row r="5" spans="1:18">
      <c r="A5" s="245"/>
      <c r="B5" s="232"/>
      <c r="C5" s="232"/>
      <c r="D5" s="716"/>
      <c r="E5" s="716"/>
      <c r="F5" s="716"/>
      <c r="G5" s="716"/>
      <c r="H5" s="232"/>
      <c r="I5" s="232"/>
      <c r="J5" s="234"/>
      <c r="K5" s="235"/>
      <c r="L5" s="246"/>
      <c r="M5" s="75"/>
      <c r="N5" s="75"/>
    </row>
    <row r="6" spans="1:18">
      <c r="A6" s="700" t="s">
        <v>677</v>
      </c>
      <c r="B6" s="702" t="s">
        <v>2</v>
      </c>
      <c r="C6" s="702" t="s">
        <v>3</v>
      </c>
      <c r="D6" s="702" t="s">
        <v>4</v>
      </c>
      <c r="E6" s="703" t="s">
        <v>311</v>
      </c>
      <c r="F6" s="703" t="s">
        <v>312</v>
      </c>
      <c r="G6" s="702" t="s">
        <v>5</v>
      </c>
      <c r="H6" s="702"/>
      <c r="I6" s="702"/>
      <c r="J6" s="702"/>
      <c r="K6" s="702" t="s">
        <v>9</v>
      </c>
      <c r="L6" s="700" t="s">
        <v>10</v>
      </c>
      <c r="M6" s="76"/>
      <c r="N6" s="76"/>
    </row>
    <row r="7" spans="1:18">
      <c r="A7" s="700"/>
      <c r="B7" s="702"/>
      <c r="C7" s="702"/>
      <c r="D7" s="702"/>
      <c r="E7" s="703"/>
      <c r="F7" s="703"/>
      <c r="G7" s="449" t="s">
        <v>6</v>
      </c>
      <c r="H7" s="449" t="s">
        <v>7</v>
      </c>
      <c r="I7" s="449" t="s">
        <v>11</v>
      </c>
      <c r="J7" s="449" t="s">
        <v>517</v>
      </c>
      <c r="K7" s="702"/>
      <c r="L7" s="700"/>
      <c r="M7" s="76"/>
      <c r="N7" s="76"/>
    </row>
    <row r="8" spans="1:18" s="6" customFormat="1">
      <c r="A8" s="643"/>
      <c r="B8" s="450"/>
      <c r="C8" s="450"/>
      <c r="D8" s="450"/>
      <c r="E8" s="450"/>
      <c r="F8" s="451"/>
      <c r="G8" s="450"/>
      <c r="H8" s="450"/>
      <c r="I8" s="450"/>
      <c r="J8" s="450"/>
      <c r="K8" s="451"/>
      <c r="L8" s="452"/>
      <c r="M8" s="77"/>
      <c r="N8" s="77"/>
      <c r="O8" s="18"/>
    </row>
    <row r="9" spans="1:18" s="6" customFormat="1" hidden="1">
      <c r="A9" s="453">
        <v>1</v>
      </c>
      <c r="B9" s="701" t="s">
        <v>232</v>
      </c>
      <c r="C9" s="701"/>
      <c r="D9" s="701"/>
      <c r="E9" s="701"/>
      <c r="F9" s="701"/>
      <c r="G9" s="701"/>
      <c r="H9" s="701"/>
      <c r="I9" s="701"/>
      <c r="J9" s="454">
        <f>SUM(J10:J11)</f>
        <v>0</v>
      </c>
      <c r="K9" s="713"/>
      <c r="L9" s="713"/>
      <c r="M9" s="76"/>
      <c r="N9" s="76"/>
      <c r="O9" s="18"/>
      <c r="Q9" s="33"/>
      <c r="R9" s="33"/>
    </row>
    <row r="10" spans="1:18" ht="57.6" hidden="1">
      <c r="A10" s="455" t="s">
        <v>12</v>
      </c>
      <c r="B10" s="356" t="s">
        <v>624</v>
      </c>
      <c r="C10" s="456" t="s">
        <v>14</v>
      </c>
      <c r="D10" s="457">
        <f>TERRAPL.!I35</f>
        <v>1004.79</v>
      </c>
      <c r="E10" s="458"/>
      <c r="F10" s="458"/>
      <c r="G10" s="585">
        <v>9.5399999999999991</v>
      </c>
      <c r="H10" s="237">
        <f>BDI!$F$30</f>
        <v>0.20730000000000001</v>
      </c>
      <c r="I10" s="459">
        <f>TRUNC(G10*(1+H10),2)</f>
        <v>11.51</v>
      </c>
      <c r="J10" s="565"/>
      <c r="K10" s="455" t="s">
        <v>719</v>
      </c>
      <c r="L10" s="460">
        <v>101232</v>
      </c>
      <c r="M10" s="78"/>
      <c r="N10" s="85"/>
    </row>
    <row r="11" spans="1:18" s="265" customFormat="1" hidden="1">
      <c r="A11" s="455" t="s">
        <v>482</v>
      </c>
      <c r="B11" s="356" t="s">
        <v>625</v>
      </c>
      <c r="C11" s="456" t="s">
        <v>14</v>
      </c>
      <c r="D11" s="457">
        <f>TERRAPL.!I37</f>
        <v>1004.79</v>
      </c>
      <c r="E11" s="458"/>
      <c r="F11" s="458"/>
      <c r="G11" s="585">
        <v>1.51</v>
      </c>
      <c r="H11" s="237">
        <f>BDI!$F$30</f>
        <v>0.20730000000000001</v>
      </c>
      <c r="I11" s="459">
        <f t="shared" ref="I11" si="0">TRUNC(G11*(1+H11),2)</f>
        <v>1.82</v>
      </c>
      <c r="J11" s="565"/>
      <c r="K11" s="455" t="s">
        <v>719</v>
      </c>
      <c r="L11" s="460">
        <v>100574</v>
      </c>
      <c r="M11" s="78"/>
      <c r="N11" s="85"/>
      <c r="O11" s="267"/>
    </row>
    <row r="12" spans="1:18" s="6" customFormat="1">
      <c r="A12" s="453">
        <v>1</v>
      </c>
      <c r="B12" s="701" t="s">
        <v>197</v>
      </c>
      <c r="C12" s="701"/>
      <c r="D12" s="701"/>
      <c r="E12" s="701"/>
      <c r="F12" s="701"/>
      <c r="G12" s="701"/>
      <c r="H12" s="701"/>
      <c r="I12" s="701"/>
      <c r="J12" s="454">
        <f>SUM(J13:J19)</f>
        <v>141045.94</v>
      </c>
      <c r="K12" s="713"/>
      <c r="L12" s="713"/>
      <c r="M12" s="76"/>
      <c r="N12" s="76"/>
      <c r="O12" s="18"/>
    </row>
    <row r="13" spans="1:18" s="265" customFormat="1" ht="28.8">
      <c r="A13" s="199" t="s">
        <v>12</v>
      </c>
      <c r="B13" s="198" t="s">
        <v>670</v>
      </c>
      <c r="C13" s="679" t="s">
        <v>13</v>
      </c>
      <c r="D13" s="680">
        <f>DRENAGEM!J33</f>
        <v>20</v>
      </c>
      <c r="E13" s="461"/>
      <c r="F13" s="461"/>
      <c r="G13" s="687">
        <v>1624.71</v>
      </c>
      <c r="H13" s="683">
        <f>BDI!$F$30</f>
        <v>0.20730000000000001</v>
      </c>
      <c r="I13" s="684">
        <f t="shared" ref="I13" si="1">TRUNC(G13*(1+H13),2)</f>
        <v>1961.51</v>
      </c>
      <c r="J13" s="685">
        <f>TRUNC(D13*I13,2)</f>
        <v>39230.199999999997</v>
      </c>
      <c r="K13" s="199" t="s">
        <v>736</v>
      </c>
      <c r="L13" s="686">
        <v>97956</v>
      </c>
      <c r="M13" s="78"/>
      <c r="N13" s="78"/>
      <c r="O13" s="267"/>
    </row>
    <row r="14" spans="1:18" s="265" customFormat="1" ht="43.2">
      <c r="A14" s="199" t="s">
        <v>482</v>
      </c>
      <c r="B14" s="198" t="s">
        <v>721</v>
      </c>
      <c r="C14" s="679" t="s">
        <v>15</v>
      </c>
      <c r="D14" s="681">
        <f>DRENAGEM!J34</f>
        <v>69</v>
      </c>
      <c r="E14" s="461"/>
      <c r="F14" s="461"/>
      <c r="G14" s="687">
        <v>34.340000000000003</v>
      </c>
      <c r="H14" s="683">
        <f>BDI!$F$30</f>
        <v>0.20730000000000001</v>
      </c>
      <c r="I14" s="684">
        <f t="shared" ref="I14:I19" si="2">TRUNC(G14*(1+H14),2)</f>
        <v>41.45</v>
      </c>
      <c r="J14" s="685">
        <f>TRUNC(D14*I14,2)</f>
        <v>2860.05</v>
      </c>
      <c r="K14" s="199" t="s">
        <v>736</v>
      </c>
      <c r="L14" s="686">
        <v>92809</v>
      </c>
      <c r="M14" s="78"/>
      <c r="N14" s="78"/>
      <c r="O14" s="267"/>
    </row>
    <row r="15" spans="1:18" s="265" customFormat="1" ht="43.2">
      <c r="A15" s="199" t="s">
        <v>730</v>
      </c>
      <c r="B15" s="198" t="s">
        <v>722</v>
      </c>
      <c r="C15" s="679" t="s">
        <v>15</v>
      </c>
      <c r="D15" s="681">
        <f>DRENAGEM!J35</f>
        <v>78</v>
      </c>
      <c r="E15" s="461"/>
      <c r="F15" s="461"/>
      <c r="G15" s="687">
        <v>54.65</v>
      </c>
      <c r="H15" s="683">
        <f>BDI!$F$30</f>
        <v>0.20730000000000001</v>
      </c>
      <c r="I15" s="684">
        <f t="shared" ref="I15:I16" si="3">TRUNC(G15*(1+H15),2)</f>
        <v>65.97</v>
      </c>
      <c r="J15" s="685">
        <f t="shared" ref="J15:J16" si="4">TRUNC(D15*I15,2)</f>
        <v>5145.66</v>
      </c>
      <c r="K15" s="199" t="s">
        <v>736</v>
      </c>
      <c r="L15" s="686">
        <v>92811</v>
      </c>
      <c r="M15" s="78"/>
      <c r="N15" s="78"/>
      <c r="O15" s="267"/>
    </row>
    <row r="16" spans="1:18" s="265" customFormat="1" ht="43.2">
      <c r="A16" s="199" t="s">
        <v>731</v>
      </c>
      <c r="B16" s="198" t="s">
        <v>723</v>
      </c>
      <c r="C16" s="679" t="s">
        <v>15</v>
      </c>
      <c r="D16" s="681">
        <f>DRENAGEM!J36</f>
        <v>269</v>
      </c>
      <c r="E16" s="461"/>
      <c r="F16" s="461"/>
      <c r="G16" s="687">
        <v>76.05</v>
      </c>
      <c r="H16" s="683">
        <f>BDI!$F$30</f>
        <v>0.20730000000000001</v>
      </c>
      <c r="I16" s="684">
        <f t="shared" si="3"/>
        <v>91.81</v>
      </c>
      <c r="J16" s="685">
        <f t="shared" si="4"/>
        <v>24696.89</v>
      </c>
      <c r="K16" s="199" t="s">
        <v>736</v>
      </c>
      <c r="L16" s="686">
        <v>92813</v>
      </c>
      <c r="M16" s="78"/>
      <c r="N16" s="78"/>
      <c r="O16" s="267"/>
    </row>
    <row r="17" spans="1:16" s="265" customFormat="1" ht="43.2">
      <c r="A17" s="199" t="s">
        <v>732</v>
      </c>
      <c r="B17" s="198" t="s">
        <v>720</v>
      </c>
      <c r="C17" s="679" t="s">
        <v>15</v>
      </c>
      <c r="D17" s="681">
        <f>DRENAGEM!J37</f>
        <v>114</v>
      </c>
      <c r="E17" s="461"/>
      <c r="F17" s="461"/>
      <c r="G17" s="687">
        <v>98.52</v>
      </c>
      <c r="H17" s="683">
        <f>BDI!$F$30</f>
        <v>0.20730000000000001</v>
      </c>
      <c r="I17" s="684">
        <f t="shared" ref="I17" si="5">TRUNC(G17*(1+H17),2)</f>
        <v>118.94</v>
      </c>
      <c r="J17" s="685">
        <f t="shared" ref="J17" si="6">TRUNC(D17*I17,2)</f>
        <v>13559.16</v>
      </c>
      <c r="K17" s="199" t="s">
        <v>736</v>
      </c>
      <c r="L17" s="686">
        <v>92815</v>
      </c>
      <c r="M17" s="78"/>
      <c r="N17" s="78"/>
      <c r="O17" s="267"/>
    </row>
    <row r="18" spans="1:16" ht="57.6">
      <c r="A18" s="199" t="s">
        <v>733</v>
      </c>
      <c r="B18" s="197" t="s">
        <v>457</v>
      </c>
      <c r="C18" s="679" t="s">
        <v>14</v>
      </c>
      <c r="D18" s="682">
        <f>DRENAGEM!J38</f>
        <v>2019.64</v>
      </c>
      <c r="E18" s="462"/>
      <c r="F18" s="462"/>
      <c r="G18" s="687">
        <v>7.71</v>
      </c>
      <c r="H18" s="683">
        <f>BDI!$F$30</f>
        <v>0.20730000000000001</v>
      </c>
      <c r="I18" s="684">
        <f t="shared" si="2"/>
        <v>9.3000000000000007</v>
      </c>
      <c r="J18" s="685">
        <f t="shared" ref="J18:J19" si="7">TRUNC(D18*I18,2)</f>
        <v>18782.650000000001</v>
      </c>
      <c r="K18" s="199" t="s">
        <v>736</v>
      </c>
      <c r="L18" s="686">
        <v>90106</v>
      </c>
      <c r="M18" s="78"/>
      <c r="N18" s="78"/>
    </row>
    <row r="19" spans="1:16" ht="57.6">
      <c r="A19" s="199" t="s">
        <v>734</v>
      </c>
      <c r="B19" s="198" t="s">
        <v>458</v>
      </c>
      <c r="C19" s="679" t="s">
        <v>14</v>
      </c>
      <c r="D19" s="682">
        <f>DRENAGEM!J39</f>
        <v>1627.05</v>
      </c>
      <c r="E19" s="462"/>
      <c r="F19" s="462"/>
      <c r="G19" s="687">
        <v>18.72</v>
      </c>
      <c r="H19" s="683">
        <f>BDI!$F$30</f>
        <v>0.20730000000000001</v>
      </c>
      <c r="I19" s="684">
        <f t="shared" si="2"/>
        <v>22.6</v>
      </c>
      <c r="J19" s="685">
        <f t="shared" si="7"/>
        <v>36771.33</v>
      </c>
      <c r="K19" s="199" t="s">
        <v>736</v>
      </c>
      <c r="L19" s="686">
        <v>93379</v>
      </c>
      <c r="M19" s="78"/>
      <c r="N19" s="85"/>
    </row>
    <row r="20" spans="1:16" s="6" customFormat="1" hidden="1">
      <c r="A20" s="449">
        <v>3</v>
      </c>
      <c r="B20" s="712" t="s">
        <v>198</v>
      </c>
      <c r="C20" s="712"/>
      <c r="D20" s="712"/>
      <c r="E20" s="712"/>
      <c r="F20" s="712"/>
      <c r="G20" s="712"/>
      <c r="H20" s="712"/>
      <c r="I20" s="712"/>
      <c r="J20" s="463">
        <f>SUM(J21:J29)</f>
        <v>0</v>
      </c>
      <c r="K20" s="702"/>
      <c r="L20" s="702"/>
      <c r="M20" s="76"/>
      <c r="N20" s="76"/>
      <c r="O20" s="18"/>
    </row>
    <row r="21" spans="1:16" ht="28.8" hidden="1">
      <c r="A21" s="455" t="s">
        <v>18</v>
      </c>
      <c r="B21" s="356" t="s">
        <v>622</v>
      </c>
      <c r="C21" s="456" t="s">
        <v>17</v>
      </c>
      <c r="D21" s="464">
        <f>PAVIM.!M11</f>
        <v>3656</v>
      </c>
      <c r="E21" s="465"/>
      <c r="F21" s="465"/>
      <c r="G21" s="585">
        <v>2.65</v>
      </c>
      <c r="H21" s="237">
        <f>BDI!$F$30</f>
        <v>0.20730000000000001</v>
      </c>
      <c r="I21" s="459">
        <f t="shared" ref="I21:I29" si="8">TRUNC(G21*(1+H21),2)</f>
        <v>3.19</v>
      </c>
      <c r="J21" s="565"/>
      <c r="K21" s="455" t="s">
        <v>719</v>
      </c>
      <c r="L21" s="460">
        <v>100576</v>
      </c>
      <c r="M21" s="78"/>
      <c r="N21" s="85"/>
    </row>
    <row r="22" spans="1:16" ht="28.8" hidden="1">
      <c r="A22" s="455" t="s">
        <v>19</v>
      </c>
      <c r="B22" s="356" t="s">
        <v>727</v>
      </c>
      <c r="C22" s="456" t="s">
        <v>14</v>
      </c>
      <c r="D22" s="464">
        <f>PAVIM.!M19</f>
        <v>731.2</v>
      </c>
      <c r="E22" s="465"/>
      <c r="F22" s="465"/>
      <c r="G22" s="567">
        <v>125.87</v>
      </c>
      <c r="H22" s="237">
        <f>BDI!$F$30</f>
        <v>0.20730000000000001</v>
      </c>
      <c r="I22" s="459">
        <f t="shared" si="8"/>
        <v>151.96</v>
      </c>
      <c r="J22" s="565"/>
      <c r="K22" s="455" t="s">
        <v>719</v>
      </c>
      <c r="L22" s="460">
        <v>96399</v>
      </c>
      <c r="M22" s="78"/>
      <c r="N22" s="78"/>
    </row>
    <row r="23" spans="1:16" s="265" customFormat="1" ht="28.8" hidden="1">
      <c r="A23" s="455" t="s">
        <v>48</v>
      </c>
      <c r="B23" s="355" t="s">
        <v>696</v>
      </c>
      <c r="C23" s="456" t="s">
        <v>483</v>
      </c>
      <c r="D23" s="466">
        <f>TRUNC(D22*2,2)</f>
        <v>1462.4</v>
      </c>
      <c r="E23" s="458"/>
      <c r="F23" s="458"/>
      <c r="G23" s="568">
        <v>0.85</v>
      </c>
      <c r="H23" s="237">
        <f>BDI!$F$30</f>
        <v>0.20730000000000001</v>
      </c>
      <c r="I23" s="459">
        <f t="shared" si="8"/>
        <v>1.02</v>
      </c>
      <c r="J23" s="565"/>
      <c r="K23" s="455" t="s">
        <v>719</v>
      </c>
      <c r="L23" s="460">
        <v>93593</v>
      </c>
      <c r="M23" s="78"/>
      <c r="N23" s="85"/>
      <c r="O23" s="267"/>
    </row>
    <row r="24" spans="1:16" ht="28.8" hidden="1">
      <c r="A24" s="455" t="s">
        <v>20</v>
      </c>
      <c r="B24" s="356" t="s">
        <v>668</v>
      </c>
      <c r="C24" s="456" t="s">
        <v>14</v>
      </c>
      <c r="D24" s="464">
        <f>PAVIM.!M27</f>
        <v>548.4</v>
      </c>
      <c r="E24" s="465"/>
      <c r="F24" s="465"/>
      <c r="G24" s="567">
        <f>'COMP. SINAPI'!G30</f>
        <v>138.69</v>
      </c>
      <c r="H24" s="237">
        <f>BDI!$F$30</f>
        <v>0.20730000000000001</v>
      </c>
      <c r="I24" s="585">
        <f t="shared" si="8"/>
        <v>167.44</v>
      </c>
      <c r="J24" s="657"/>
      <c r="K24" s="455" t="s">
        <v>501</v>
      </c>
      <c r="L24" s="460">
        <v>96396</v>
      </c>
      <c r="M24" s="78"/>
      <c r="N24" s="78"/>
    </row>
    <row r="25" spans="1:16" s="265" customFormat="1" ht="28.8" hidden="1">
      <c r="A25" s="455" t="s">
        <v>49</v>
      </c>
      <c r="B25" s="355" t="s">
        <v>697</v>
      </c>
      <c r="C25" s="456" t="s">
        <v>483</v>
      </c>
      <c r="D25" s="466">
        <f>TRUNC(D24*2,2)</f>
        <v>1096.8</v>
      </c>
      <c r="E25" s="458"/>
      <c r="F25" s="458"/>
      <c r="G25" s="568">
        <v>0.85</v>
      </c>
      <c r="H25" s="237">
        <f>BDI!$F$30</f>
        <v>0.20730000000000001</v>
      </c>
      <c r="I25" s="459">
        <f t="shared" si="8"/>
        <v>1.02</v>
      </c>
      <c r="J25" s="565"/>
      <c r="K25" s="455" t="s">
        <v>719</v>
      </c>
      <c r="L25" s="460">
        <v>93593</v>
      </c>
      <c r="M25" s="78"/>
      <c r="N25" s="85"/>
      <c r="O25" s="267"/>
    </row>
    <row r="26" spans="1:16" hidden="1">
      <c r="A26" s="455" t="s">
        <v>50</v>
      </c>
      <c r="B26" s="239" t="s">
        <v>318</v>
      </c>
      <c r="C26" s="236" t="s">
        <v>17</v>
      </c>
      <c r="D26" s="238">
        <f>PAVIM.!M35</f>
        <v>3656</v>
      </c>
      <c r="E26" s="467">
        <v>0.41</v>
      </c>
      <c r="F26" s="468" t="s">
        <v>293</v>
      </c>
      <c r="G26" s="568">
        <f>TRUNC(VLOOKUP(F26,REAJUSTE!A:E,5,FALSE)*E26,2)</f>
        <v>0.42</v>
      </c>
      <c r="H26" s="237">
        <f>BDI!$F$30</f>
        <v>0.20730000000000001</v>
      </c>
      <c r="I26" s="459">
        <f t="shared" si="8"/>
        <v>0.5</v>
      </c>
      <c r="J26" s="565"/>
      <c r="K26" s="578" t="s">
        <v>724</v>
      </c>
      <c r="L26" s="446">
        <v>4011352</v>
      </c>
      <c r="M26" s="78"/>
      <c r="N26" s="85"/>
      <c r="P26" s="91"/>
    </row>
    <row r="27" spans="1:16" hidden="1">
      <c r="A27" s="455" t="s">
        <v>631</v>
      </c>
      <c r="B27" s="239" t="s">
        <v>319</v>
      </c>
      <c r="C27" s="240" t="s">
        <v>17</v>
      </c>
      <c r="D27" s="241">
        <f>PAVIM.!M48</f>
        <v>4867</v>
      </c>
      <c r="E27" s="467">
        <v>0.28000000000000003</v>
      </c>
      <c r="F27" s="468" t="s">
        <v>293</v>
      </c>
      <c r="G27" s="568">
        <f>TRUNC(VLOOKUP(F27,REAJUSTE!A:E,5,FALSE)*E27,2)</f>
        <v>0.28000000000000003</v>
      </c>
      <c r="H27" s="237">
        <f>BDI!$F$30</f>
        <v>0.20730000000000001</v>
      </c>
      <c r="I27" s="459">
        <f t="shared" si="8"/>
        <v>0.33</v>
      </c>
      <c r="J27" s="565"/>
      <c r="K27" s="578" t="s">
        <v>724</v>
      </c>
      <c r="L27" s="447">
        <v>4011353</v>
      </c>
      <c r="M27" s="78"/>
      <c r="N27" s="85"/>
      <c r="P27" s="91"/>
    </row>
    <row r="28" spans="1:16" s="265" customFormat="1" ht="28.8" hidden="1">
      <c r="A28" s="455" t="s">
        <v>136</v>
      </c>
      <c r="B28" s="239" t="s">
        <v>667</v>
      </c>
      <c r="C28" s="456" t="s">
        <v>14</v>
      </c>
      <c r="D28" s="241">
        <f>PAVIM.!M61</f>
        <v>231.24</v>
      </c>
      <c r="E28" s="458"/>
      <c r="F28" s="458"/>
      <c r="G28" s="357">
        <v>1438.55</v>
      </c>
      <c r="H28" s="237">
        <f>BDI!$F$30</f>
        <v>0.20730000000000001</v>
      </c>
      <c r="I28" s="459">
        <f t="shared" si="8"/>
        <v>1736.76</v>
      </c>
      <c r="J28" s="565"/>
      <c r="K28" s="455" t="s">
        <v>719</v>
      </c>
      <c r="L28" s="446">
        <v>95995</v>
      </c>
      <c r="M28" s="78"/>
      <c r="N28" s="85"/>
      <c r="O28" s="267"/>
      <c r="P28" s="91"/>
    </row>
    <row r="29" spans="1:16" s="265" customFormat="1" ht="43.2" hidden="1">
      <c r="A29" s="455" t="s">
        <v>137</v>
      </c>
      <c r="B29" s="355" t="s">
        <v>698</v>
      </c>
      <c r="C29" s="456" t="s">
        <v>483</v>
      </c>
      <c r="D29" s="241">
        <f>TRUNC(D28*2,2)</f>
        <v>462.48</v>
      </c>
      <c r="E29" s="458"/>
      <c r="F29" s="458"/>
      <c r="G29" s="568">
        <v>0.85</v>
      </c>
      <c r="H29" s="237">
        <f>BDI!$F$30</f>
        <v>0.20730000000000001</v>
      </c>
      <c r="I29" s="459">
        <f t="shared" si="8"/>
        <v>1.02</v>
      </c>
      <c r="J29" s="565"/>
      <c r="K29" s="455" t="s">
        <v>719</v>
      </c>
      <c r="L29" s="460">
        <v>93593</v>
      </c>
      <c r="M29" s="78"/>
      <c r="N29" s="85"/>
      <c r="O29" s="267"/>
      <c r="P29" s="91"/>
    </row>
    <row r="30" spans="1:16" s="6" customFormat="1" hidden="1">
      <c r="A30" s="449">
        <v>4</v>
      </c>
      <c r="B30" s="693" t="s">
        <v>313</v>
      </c>
      <c r="C30" s="694"/>
      <c r="D30" s="694"/>
      <c r="E30" s="694"/>
      <c r="F30" s="694"/>
      <c r="G30" s="694"/>
      <c r="H30" s="694"/>
      <c r="I30" s="695"/>
      <c r="J30" s="469">
        <f>SUM(J31:J34)</f>
        <v>0</v>
      </c>
      <c r="K30" s="696"/>
      <c r="L30" s="697"/>
      <c r="M30" s="577"/>
      <c r="N30" s="76"/>
      <c r="O30" s="18"/>
    </row>
    <row r="31" spans="1:16" s="265" customFormat="1" hidden="1">
      <c r="A31" s="578" t="s">
        <v>51</v>
      </c>
      <c r="B31" s="239" t="s">
        <v>638</v>
      </c>
      <c r="C31" s="236" t="s">
        <v>186</v>
      </c>
      <c r="D31" s="238">
        <f>PAVIM.!M36</f>
        <v>4.75</v>
      </c>
      <c r="E31" s="586"/>
      <c r="F31" s="587"/>
      <c r="G31" s="357">
        <f>ROUND('MAT. BET.'!E7*1000*1.17,2)</f>
        <v>3049.97</v>
      </c>
      <c r="H31" s="237">
        <v>0.15</v>
      </c>
      <c r="I31" s="588">
        <f t="shared" ref="I31:I32" si="9">G31*(1+H31)</f>
        <v>3507.4654999999993</v>
      </c>
      <c r="J31" s="565"/>
      <c r="K31" s="578" t="s">
        <v>725</v>
      </c>
      <c r="L31" s="589" t="s">
        <v>185</v>
      </c>
      <c r="M31" s="267"/>
      <c r="N31" s="91"/>
    </row>
    <row r="32" spans="1:16" s="265" customFormat="1" ht="28.8" hidden="1">
      <c r="A32" s="578" t="s">
        <v>632</v>
      </c>
      <c r="B32" s="239" t="s">
        <v>639</v>
      </c>
      <c r="C32" s="236" t="s">
        <v>186</v>
      </c>
      <c r="D32" s="238">
        <f>D31</f>
        <v>4.75</v>
      </c>
      <c r="E32" s="586"/>
      <c r="F32" s="587"/>
      <c r="G32" s="357">
        <f>PAVIM.!M38</f>
        <v>369.27</v>
      </c>
      <c r="H32" s="237">
        <v>0.15</v>
      </c>
      <c r="I32" s="588">
        <f t="shared" si="9"/>
        <v>424.66049999999996</v>
      </c>
      <c r="J32" s="565"/>
      <c r="K32" s="698" t="s">
        <v>640</v>
      </c>
      <c r="L32" s="699"/>
      <c r="M32" s="267"/>
      <c r="N32" s="91"/>
    </row>
    <row r="33" spans="1:21" s="265" customFormat="1" hidden="1">
      <c r="A33" s="578" t="s">
        <v>21</v>
      </c>
      <c r="B33" s="239" t="s">
        <v>641</v>
      </c>
      <c r="C33" s="236" t="s">
        <v>186</v>
      </c>
      <c r="D33" s="241">
        <f>PAVIM.!M49</f>
        <v>2.19</v>
      </c>
      <c r="E33" s="586"/>
      <c r="F33" s="587"/>
      <c r="G33" s="357">
        <f>ROUND('MAT. BET.'!E8*1000*1.17,2)</f>
        <v>2866.89</v>
      </c>
      <c r="H33" s="237">
        <v>0.15</v>
      </c>
      <c r="I33" s="588">
        <f>G33*(1+H33)</f>
        <v>3296.9234999999994</v>
      </c>
      <c r="J33" s="565"/>
      <c r="K33" s="578" t="s">
        <v>725</v>
      </c>
      <c r="L33" s="446" t="s">
        <v>238</v>
      </c>
      <c r="M33" s="267"/>
      <c r="N33" s="91"/>
    </row>
    <row r="34" spans="1:21" s="265" customFormat="1" ht="28.8" hidden="1">
      <c r="A34" s="578" t="s">
        <v>642</v>
      </c>
      <c r="B34" s="239" t="s">
        <v>643</v>
      </c>
      <c r="C34" s="236" t="s">
        <v>186</v>
      </c>
      <c r="D34" s="241">
        <f>D33</f>
        <v>2.19</v>
      </c>
      <c r="E34" s="586"/>
      <c r="F34" s="587"/>
      <c r="G34" s="357">
        <f>PAVIM.!M51</f>
        <v>369.27</v>
      </c>
      <c r="H34" s="237">
        <v>0.15</v>
      </c>
      <c r="I34" s="588">
        <f>G34*(1+H34)</f>
        <v>424.66049999999996</v>
      </c>
      <c r="J34" s="565"/>
      <c r="K34" s="698" t="s">
        <v>640</v>
      </c>
      <c r="L34" s="699"/>
      <c r="M34" s="267"/>
      <c r="N34" s="91"/>
    </row>
    <row r="35" spans="1:21" s="28" customFormat="1" hidden="1">
      <c r="A35" s="592">
        <v>5</v>
      </c>
      <c r="B35" s="693" t="s">
        <v>688</v>
      </c>
      <c r="C35" s="694"/>
      <c r="D35" s="694"/>
      <c r="E35" s="694"/>
      <c r="F35" s="694"/>
      <c r="G35" s="694"/>
      <c r="H35" s="694"/>
      <c r="I35" s="695"/>
      <c r="J35" s="469">
        <f>SUM(J36:J41)</f>
        <v>0</v>
      </c>
      <c r="K35" s="696"/>
      <c r="L35" s="697"/>
      <c r="M35" s="631"/>
      <c r="N35" s="631"/>
      <c r="O35" s="632"/>
    </row>
    <row r="36" spans="1:21" s="265" customFormat="1" hidden="1">
      <c r="A36" s="455" t="s">
        <v>459</v>
      </c>
      <c r="B36" s="622" t="s">
        <v>678</v>
      </c>
      <c r="C36" s="623" t="s">
        <v>14</v>
      </c>
      <c r="D36" s="238">
        <f>CALÇADA!M20</f>
        <v>189.82599999999996</v>
      </c>
      <c r="E36" s="624"/>
      <c r="F36" s="587"/>
      <c r="G36" s="625">
        <v>8.69</v>
      </c>
      <c r="H36" s="237">
        <f>BDI!$F$30</f>
        <v>0.20730000000000001</v>
      </c>
      <c r="I36" s="626">
        <f t="shared" ref="I36:I41" si="10">TRUNC(G36*(1+H36),2)</f>
        <v>10.49</v>
      </c>
      <c r="J36" s="627"/>
      <c r="K36" s="455" t="s">
        <v>719</v>
      </c>
      <c r="L36" s="628">
        <v>104736</v>
      </c>
      <c r="M36" s="80"/>
      <c r="N36" s="85"/>
      <c r="O36" s="267"/>
      <c r="R36" s="266"/>
      <c r="S36" s="266"/>
      <c r="T36" s="266"/>
      <c r="U36" s="266"/>
    </row>
    <row r="37" spans="1:21" s="265" customFormat="1" ht="43.2" hidden="1">
      <c r="A37" s="455" t="s">
        <v>460</v>
      </c>
      <c r="B37" s="239" t="s">
        <v>689</v>
      </c>
      <c r="C37" s="623" t="s">
        <v>15</v>
      </c>
      <c r="D37" s="238">
        <f>CALÇADA!M37</f>
        <v>814</v>
      </c>
      <c r="E37" s="624"/>
      <c r="F37" s="587"/>
      <c r="G37" s="625">
        <v>44.97</v>
      </c>
      <c r="H37" s="237">
        <f>BDI!$F$30</f>
        <v>0.20730000000000001</v>
      </c>
      <c r="I37" s="626">
        <f t="shared" si="10"/>
        <v>54.29</v>
      </c>
      <c r="J37" s="627"/>
      <c r="K37" s="455" t="s">
        <v>719</v>
      </c>
      <c r="L37" s="628">
        <v>94273</v>
      </c>
      <c r="M37" s="81"/>
      <c r="N37" s="85"/>
      <c r="O37" s="267"/>
    </row>
    <row r="38" spans="1:21" s="265" customFormat="1" ht="28.8" hidden="1">
      <c r="A38" s="455" t="s">
        <v>461</v>
      </c>
      <c r="B38" s="239" t="s">
        <v>690</v>
      </c>
      <c r="C38" s="623" t="s">
        <v>14</v>
      </c>
      <c r="D38" s="238">
        <f>CALÇADA!M54</f>
        <v>54.19</v>
      </c>
      <c r="E38" s="624"/>
      <c r="F38" s="587"/>
      <c r="G38" s="625">
        <v>191.28</v>
      </c>
      <c r="H38" s="237">
        <f>BDI!$F$30</f>
        <v>0.20730000000000001</v>
      </c>
      <c r="I38" s="626">
        <f t="shared" si="10"/>
        <v>230.93</v>
      </c>
      <c r="J38" s="627"/>
      <c r="K38" s="455" t="s">
        <v>719</v>
      </c>
      <c r="L38" s="629">
        <v>96624</v>
      </c>
      <c r="M38" s="268"/>
      <c r="N38" s="268"/>
      <c r="O38" s="267"/>
      <c r="R38" s="266"/>
      <c r="S38" s="266"/>
      <c r="T38" s="266"/>
      <c r="U38" s="266"/>
    </row>
    <row r="39" spans="1:21" s="265" customFormat="1" ht="43.2" hidden="1">
      <c r="A39" s="455" t="s">
        <v>462</v>
      </c>
      <c r="B39" s="239" t="s">
        <v>699</v>
      </c>
      <c r="C39" s="623" t="s">
        <v>14</v>
      </c>
      <c r="D39" s="238">
        <f>CALÇADA!M84</f>
        <v>95.24</v>
      </c>
      <c r="E39" s="624"/>
      <c r="F39" s="587"/>
      <c r="G39" s="625">
        <v>770.32</v>
      </c>
      <c r="H39" s="237">
        <f>BDI!$F$30</f>
        <v>0.20730000000000001</v>
      </c>
      <c r="I39" s="626">
        <f t="shared" si="10"/>
        <v>930</v>
      </c>
      <c r="J39" s="627"/>
      <c r="K39" s="455" t="s">
        <v>719</v>
      </c>
      <c r="L39" s="629">
        <v>94991</v>
      </c>
      <c r="M39" s="268"/>
      <c r="N39" s="637"/>
      <c r="O39" s="267"/>
      <c r="R39" s="266"/>
      <c r="S39" s="266"/>
      <c r="T39" s="266"/>
      <c r="U39" s="266"/>
    </row>
    <row r="40" spans="1:21" s="265" customFormat="1" ht="28.8" hidden="1">
      <c r="A40" s="455" t="s">
        <v>463</v>
      </c>
      <c r="B40" s="239" t="s">
        <v>686</v>
      </c>
      <c r="C40" s="623" t="s">
        <v>14</v>
      </c>
      <c r="D40" s="238">
        <f>CALÇADA!M100</f>
        <v>20.55</v>
      </c>
      <c r="E40" s="624"/>
      <c r="F40" s="587"/>
      <c r="G40" s="625">
        <v>770.32</v>
      </c>
      <c r="H40" s="237">
        <f>BDI!$F$30</f>
        <v>0.20730000000000001</v>
      </c>
      <c r="I40" s="626">
        <f t="shared" si="10"/>
        <v>930</v>
      </c>
      <c r="J40" s="627"/>
      <c r="K40" s="455" t="s">
        <v>719</v>
      </c>
      <c r="L40" s="629">
        <v>94991</v>
      </c>
      <c r="M40" s="268"/>
      <c r="N40" s="268"/>
      <c r="O40" s="267"/>
      <c r="R40" s="266"/>
      <c r="S40" s="266"/>
      <c r="T40" s="266"/>
      <c r="U40" s="266"/>
    </row>
    <row r="41" spans="1:21" s="265" customFormat="1" ht="28.8" hidden="1">
      <c r="A41" s="455" t="s">
        <v>464</v>
      </c>
      <c r="B41" s="239" t="s">
        <v>729</v>
      </c>
      <c r="C41" s="623" t="s">
        <v>17</v>
      </c>
      <c r="D41" s="238">
        <f>CALÇADA!M117</f>
        <v>346.5</v>
      </c>
      <c r="E41" s="624"/>
      <c r="F41" s="587"/>
      <c r="G41" s="625">
        <v>181.31</v>
      </c>
      <c r="H41" s="237">
        <f>BDI!$F$30</f>
        <v>0.20730000000000001</v>
      </c>
      <c r="I41" s="626">
        <f t="shared" si="10"/>
        <v>218.89</v>
      </c>
      <c r="J41" s="627"/>
      <c r="K41" s="455" t="s">
        <v>719</v>
      </c>
      <c r="L41" s="628">
        <v>104658</v>
      </c>
      <c r="M41" s="268"/>
      <c r="N41" s="268"/>
      <c r="O41" s="267"/>
      <c r="R41" s="266"/>
      <c r="S41" s="266"/>
      <c r="T41" s="266"/>
      <c r="U41" s="266"/>
    </row>
    <row r="42" spans="1:21" s="6" customFormat="1" hidden="1">
      <c r="A42" s="453">
        <v>6</v>
      </c>
      <c r="B42" s="709" t="s">
        <v>235</v>
      </c>
      <c r="C42" s="710"/>
      <c r="D42" s="710"/>
      <c r="E42" s="710"/>
      <c r="F42" s="710"/>
      <c r="G42" s="710"/>
      <c r="H42" s="710"/>
      <c r="I42" s="711"/>
      <c r="J42" s="454">
        <f>SUM(J43:J50)</f>
        <v>0</v>
      </c>
      <c r="K42" s="714"/>
      <c r="L42" s="715"/>
      <c r="M42" s="76"/>
      <c r="N42" s="76"/>
      <c r="O42" s="18"/>
    </row>
    <row r="43" spans="1:21" ht="43.2" hidden="1">
      <c r="A43" s="455" t="s">
        <v>87</v>
      </c>
      <c r="B43" s="356" t="s">
        <v>623</v>
      </c>
      <c r="C43" s="456" t="s">
        <v>17</v>
      </c>
      <c r="D43" s="464">
        <f>SINALIZAÇÃO!M17</f>
        <v>261</v>
      </c>
      <c r="E43" s="465"/>
      <c r="F43" s="465"/>
      <c r="G43" s="567">
        <v>5.63</v>
      </c>
      <c r="H43" s="237">
        <f>BDI!$F$30</f>
        <v>0.20730000000000001</v>
      </c>
      <c r="I43" s="566">
        <f t="shared" ref="I43:I49" si="11">TRUNC(G43*(1+H43),2)</f>
        <v>6.79</v>
      </c>
      <c r="J43" s="565"/>
      <c r="K43" s="455" t="s">
        <v>719</v>
      </c>
      <c r="L43" s="470">
        <v>102512</v>
      </c>
      <c r="M43" s="80"/>
      <c r="N43" s="85"/>
      <c r="R43" s="2"/>
      <c r="S43" s="2"/>
      <c r="T43" s="2"/>
      <c r="U43" s="2"/>
    </row>
    <row r="44" spans="1:21" s="265" customFormat="1" ht="28.8" hidden="1">
      <c r="A44" s="455" t="s">
        <v>91</v>
      </c>
      <c r="B44" s="356" t="s">
        <v>703</v>
      </c>
      <c r="C44" s="456" t="s">
        <v>17</v>
      </c>
      <c r="D44" s="464">
        <f>SINALIZAÇÃO!M31</f>
        <v>133.5</v>
      </c>
      <c r="E44" s="465"/>
      <c r="F44" s="465"/>
      <c r="G44" s="567">
        <v>24.44</v>
      </c>
      <c r="H44" s="237">
        <f>BDI!$F$30</f>
        <v>0.20730000000000001</v>
      </c>
      <c r="I44" s="566">
        <f t="shared" ref="I44" si="12">TRUNC(G44*(1+H44),2)</f>
        <v>29.5</v>
      </c>
      <c r="J44" s="565"/>
      <c r="K44" s="455" t="s">
        <v>719</v>
      </c>
      <c r="L44" s="470">
        <v>102509</v>
      </c>
      <c r="M44" s="80"/>
      <c r="N44" s="85"/>
      <c r="O44" s="267"/>
      <c r="R44" s="266"/>
      <c r="S44" s="266"/>
      <c r="T44" s="266"/>
      <c r="U44" s="266"/>
    </row>
    <row r="45" spans="1:21" ht="28.8" hidden="1">
      <c r="A45" s="455" t="s">
        <v>93</v>
      </c>
      <c r="B45" s="356" t="s">
        <v>451</v>
      </c>
      <c r="C45" s="456" t="s">
        <v>13</v>
      </c>
      <c r="D45" s="471">
        <f>SINALIZAÇÃO!M37</f>
        <v>2</v>
      </c>
      <c r="E45" s="467">
        <v>255.07</v>
      </c>
      <c r="F45" s="468" t="s">
        <v>300</v>
      </c>
      <c r="G45" s="568">
        <f>TRUNC(VLOOKUP(F45,REAJUSTE!A:E,5,FALSE)*E45,2)</f>
        <v>254.2</v>
      </c>
      <c r="H45" s="237">
        <f>BDI!$F$30</f>
        <v>0.20730000000000001</v>
      </c>
      <c r="I45" s="459">
        <f t="shared" si="11"/>
        <v>306.89</v>
      </c>
      <c r="J45" s="565"/>
      <c r="K45" s="578" t="s">
        <v>724</v>
      </c>
      <c r="L45" s="470">
        <v>5213444</v>
      </c>
      <c r="M45" s="81"/>
      <c r="N45" s="85"/>
    </row>
    <row r="46" spans="1:21" s="265" customFormat="1" ht="28.8" hidden="1">
      <c r="A46" s="455" t="s">
        <v>97</v>
      </c>
      <c r="B46" s="356" t="s">
        <v>450</v>
      </c>
      <c r="C46" s="456" t="s">
        <v>13</v>
      </c>
      <c r="D46" s="471">
        <f>D45</f>
        <v>2</v>
      </c>
      <c r="E46" s="467">
        <v>414.69</v>
      </c>
      <c r="F46" s="468" t="s">
        <v>300</v>
      </c>
      <c r="G46" s="568">
        <f>TRUNC(VLOOKUP(F46,REAJUSTE!A:E,5,FALSE)*E46,2)</f>
        <v>413.29</v>
      </c>
      <c r="H46" s="237">
        <f>BDI!$F$30</f>
        <v>0.20730000000000001</v>
      </c>
      <c r="I46" s="459">
        <f t="shared" si="11"/>
        <v>498.96</v>
      </c>
      <c r="J46" s="565"/>
      <c r="K46" s="578" t="s">
        <v>724</v>
      </c>
      <c r="L46" s="470">
        <v>5213855</v>
      </c>
      <c r="M46" s="80"/>
      <c r="N46" s="85"/>
      <c r="O46" s="267"/>
      <c r="R46" s="266"/>
      <c r="S46" s="266"/>
      <c r="T46" s="266"/>
      <c r="U46" s="266"/>
    </row>
    <row r="47" spans="1:21" ht="28.8" hidden="1">
      <c r="A47" s="455" t="s">
        <v>714</v>
      </c>
      <c r="B47" s="356" t="s">
        <v>704</v>
      </c>
      <c r="C47" s="456" t="s">
        <v>13</v>
      </c>
      <c r="D47" s="472">
        <f>SINALIZAÇÃO!M42</f>
        <v>1</v>
      </c>
      <c r="E47" s="467">
        <v>919.53</v>
      </c>
      <c r="F47" s="468" t="s">
        <v>300</v>
      </c>
      <c r="G47" s="568">
        <f>TRUNC(VLOOKUP(F47,REAJUSTE!A:E,5,FALSE)*E47,2)</f>
        <v>916.42</v>
      </c>
      <c r="H47" s="237">
        <f>BDI!$F$30</f>
        <v>0.20730000000000001</v>
      </c>
      <c r="I47" s="459">
        <f t="shared" si="11"/>
        <v>1106.3900000000001</v>
      </c>
      <c r="J47" s="565"/>
      <c r="K47" s="578" t="s">
        <v>724</v>
      </c>
      <c r="L47" s="470">
        <v>5213489</v>
      </c>
      <c r="M47" s="75"/>
      <c r="N47" s="75"/>
      <c r="R47" s="2"/>
      <c r="S47" s="2"/>
      <c r="T47" s="2"/>
      <c r="U47" s="2"/>
    </row>
    <row r="48" spans="1:21" ht="28.8" hidden="1">
      <c r="A48" s="455" t="s">
        <v>715</v>
      </c>
      <c r="B48" s="356" t="s">
        <v>452</v>
      </c>
      <c r="C48" s="456" t="s">
        <v>13</v>
      </c>
      <c r="D48" s="472">
        <f>D47*2</f>
        <v>2</v>
      </c>
      <c r="E48" s="467">
        <v>121.16</v>
      </c>
      <c r="F48" s="468" t="s">
        <v>300</v>
      </c>
      <c r="G48" s="568">
        <f>TRUNC(VLOOKUP(F48,REAJUSTE!A:E,5,FALSE)*E48,2)</f>
        <v>120.75</v>
      </c>
      <c r="H48" s="237">
        <f>BDI!$F$30</f>
        <v>0.20730000000000001</v>
      </c>
      <c r="I48" s="459">
        <f t="shared" si="11"/>
        <v>145.78</v>
      </c>
      <c r="J48" s="565"/>
      <c r="K48" s="578" t="s">
        <v>724</v>
      </c>
      <c r="L48" s="470">
        <v>5216111</v>
      </c>
      <c r="M48" s="75"/>
      <c r="N48" s="75"/>
      <c r="R48" s="2"/>
      <c r="S48" s="2"/>
      <c r="T48" s="2"/>
      <c r="U48" s="2"/>
    </row>
    <row r="49" spans="1:21" s="265" customFormat="1" hidden="1">
      <c r="A49" s="455" t="s">
        <v>716</v>
      </c>
      <c r="B49" s="356" t="s">
        <v>700</v>
      </c>
      <c r="C49" s="456" t="s">
        <v>13</v>
      </c>
      <c r="D49" s="472">
        <f>SINALIZAÇÃO!M48</f>
        <v>6</v>
      </c>
      <c r="E49" s="467">
        <v>391.61</v>
      </c>
      <c r="F49" s="468" t="s">
        <v>300</v>
      </c>
      <c r="G49" s="357">
        <v>390.28</v>
      </c>
      <c r="H49" s="237">
        <f>BDI!$F$30</f>
        <v>0.20730000000000001</v>
      </c>
      <c r="I49" s="459">
        <f t="shared" si="11"/>
        <v>471.18</v>
      </c>
      <c r="J49" s="599"/>
      <c r="K49" s="578" t="s">
        <v>724</v>
      </c>
      <c r="L49" s="470">
        <v>5113473</v>
      </c>
      <c r="M49" s="268"/>
      <c r="N49" s="268"/>
      <c r="O49" s="267"/>
      <c r="R49" s="266"/>
      <c r="S49" s="266"/>
      <c r="T49" s="266"/>
      <c r="U49" s="266"/>
    </row>
    <row r="50" spans="1:21" s="265" customFormat="1" ht="28.8" hidden="1">
      <c r="A50" s="455" t="s">
        <v>717</v>
      </c>
      <c r="B50" s="356" t="s">
        <v>701</v>
      </c>
      <c r="C50" s="456" t="s">
        <v>13</v>
      </c>
      <c r="D50" s="472">
        <f>D49</f>
        <v>6</v>
      </c>
      <c r="E50" s="467">
        <v>672.22</v>
      </c>
      <c r="F50" s="468" t="s">
        <v>300</v>
      </c>
      <c r="G50" s="357">
        <v>669.95</v>
      </c>
      <c r="H50" s="237">
        <f>BDI!$F$30</f>
        <v>0.20730000000000001</v>
      </c>
      <c r="I50" s="459">
        <f t="shared" ref="I50" si="13">TRUNC(G50*(1+H50),2)</f>
        <v>808.83</v>
      </c>
      <c r="J50" s="599"/>
      <c r="K50" s="578" t="s">
        <v>724</v>
      </c>
      <c r="L50" s="470">
        <v>5113867</v>
      </c>
      <c r="M50" s="268"/>
      <c r="N50" s="268"/>
      <c r="O50" s="267"/>
      <c r="R50" s="266"/>
      <c r="S50" s="266"/>
      <c r="T50" s="266"/>
      <c r="U50" s="266"/>
    </row>
    <row r="51" spans="1:21" s="265" customFormat="1">
      <c r="A51" s="708" t="s">
        <v>22</v>
      </c>
      <c r="B51" s="708"/>
      <c r="C51" s="708"/>
      <c r="D51" s="708"/>
      <c r="E51" s="708"/>
      <c r="F51" s="708"/>
      <c r="G51" s="708"/>
      <c r="H51" s="708"/>
      <c r="I51" s="708"/>
      <c r="J51" s="658">
        <f>J12</f>
        <v>141045.94</v>
      </c>
      <c r="K51" s="702"/>
      <c r="L51" s="702"/>
      <c r="M51" s="268"/>
      <c r="N51" s="268"/>
      <c r="O51" s="267"/>
      <c r="R51" s="266"/>
      <c r="S51" s="266"/>
      <c r="T51" s="266"/>
      <c r="U51" s="266"/>
    </row>
    <row r="52" spans="1:21" s="265" customFormat="1">
      <c r="A52" s="671"/>
      <c r="B52" s="671"/>
      <c r="C52" s="671"/>
      <c r="D52" s="671"/>
      <c r="E52" s="671"/>
      <c r="F52" s="671"/>
      <c r="G52" s="671"/>
      <c r="H52" s="671"/>
      <c r="I52" s="671"/>
      <c r="J52" s="672"/>
      <c r="K52" s="673"/>
      <c r="L52" s="673"/>
      <c r="M52" s="268"/>
      <c r="N52" s="268"/>
      <c r="O52" s="267"/>
      <c r="R52" s="266"/>
      <c r="S52" s="266"/>
      <c r="T52" s="266"/>
      <c r="U52" s="266"/>
    </row>
    <row r="53" spans="1:21" s="265" customFormat="1">
      <c r="A53" s="671"/>
      <c r="B53" s="671"/>
      <c r="C53" s="671"/>
      <c r="D53" s="671"/>
      <c r="E53" s="671"/>
      <c r="F53" s="671"/>
      <c r="G53" s="671"/>
      <c r="H53" s="671"/>
      <c r="I53" s="671"/>
      <c r="J53" s="672"/>
      <c r="K53" s="673"/>
      <c r="L53" s="673"/>
      <c r="M53" s="268"/>
      <c r="N53" s="268"/>
      <c r="O53" s="267"/>
      <c r="R53" s="266"/>
      <c r="S53" s="266"/>
      <c r="T53" s="266"/>
      <c r="U53" s="266"/>
    </row>
    <row r="54" spans="1:21" s="265" customFormat="1">
      <c r="A54" s="671"/>
      <c r="B54" s="671"/>
      <c r="C54" s="671"/>
      <c r="D54" s="671"/>
      <c r="E54" s="671"/>
      <c r="F54" s="671"/>
      <c r="G54" s="671"/>
      <c r="H54" s="671"/>
      <c r="I54" s="671"/>
      <c r="J54" s="672"/>
      <c r="K54" s="673"/>
      <c r="L54" s="673"/>
      <c r="M54" s="268"/>
      <c r="N54" s="268"/>
      <c r="O54" s="267"/>
      <c r="R54" s="266"/>
      <c r="S54" s="266"/>
      <c r="T54" s="266"/>
      <c r="U54" s="266"/>
    </row>
    <row r="55" spans="1:21" s="265" customFormat="1">
      <c r="A55" s="671"/>
      <c r="B55" s="671"/>
      <c r="C55" s="671"/>
      <c r="D55" s="671"/>
      <c r="E55" s="671"/>
      <c r="F55" s="671"/>
      <c r="G55" s="671"/>
      <c r="H55" s="671"/>
      <c r="I55" s="671"/>
      <c r="J55" s="672"/>
      <c r="K55" s="673"/>
      <c r="L55" s="673"/>
      <c r="M55" s="268"/>
      <c r="N55" s="268"/>
      <c r="O55" s="267"/>
      <c r="R55" s="266"/>
      <c r="S55" s="266"/>
      <c r="T55" s="266"/>
      <c r="U55" s="266"/>
    </row>
    <row r="56" spans="1:21" s="265" customFormat="1">
      <c r="A56" s="671"/>
      <c r="B56" s="671"/>
      <c r="C56" s="671"/>
      <c r="D56" s="671"/>
      <c r="E56" s="671"/>
      <c r="F56" s="671"/>
      <c r="G56" s="671"/>
      <c r="H56" s="671"/>
      <c r="I56" s="671"/>
      <c r="J56" s="672"/>
      <c r="K56" s="673"/>
      <c r="L56" s="673"/>
      <c r="M56" s="268"/>
      <c r="N56" s="268"/>
      <c r="O56" s="267"/>
      <c r="R56" s="266"/>
      <c r="S56" s="266"/>
      <c r="T56" s="266"/>
      <c r="U56" s="266"/>
    </row>
    <row r="57" spans="1:21" s="265" customFormat="1">
      <c r="A57" s="671"/>
      <c r="B57" s="671"/>
      <c r="C57" s="671"/>
      <c r="D57" s="671"/>
      <c r="E57" s="671"/>
      <c r="F57" s="671"/>
      <c r="G57" s="671"/>
      <c r="H57" s="671"/>
      <c r="I57" s="671"/>
      <c r="J57" s="672"/>
      <c r="K57" s="673"/>
      <c r="L57" s="673"/>
      <c r="M57" s="268"/>
      <c r="N57" s="268"/>
      <c r="O57" s="267"/>
      <c r="R57" s="266"/>
      <c r="S57" s="266"/>
      <c r="T57" s="266"/>
      <c r="U57" s="266"/>
    </row>
    <row r="58" spans="1:21" s="265" customFormat="1">
      <c r="A58" s="671"/>
      <c r="B58" s="671"/>
      <c r="C58" s="671"/>
      <c r="D58" s="671"/>
      <c r="E58" s="671"/>
      <c r="F58" s="671"/>
      <c r="G58" s="671"/>
      <c r="H58" s="671"/>
      <c r="I58" s="671"/>
      <c r="J58" s="672"/>
      <c r="K58" s="673"/>
      <c r="L58" s="673"/>
      <c r="M58" s="268"/>
      <c r="N58" s="268"/>
      <c r="O58" s="267"/>
      <c r="R58" s="266"/>
      <c r="S58" s="266"/>
      <c r="T58" s="266"/>
      <c r="U58" s="266"/>
    </row>
    <row r="59" spans="1:21" s="265" customFormat="1">
      <c r="A59" s="671"/>
      <c r="B59" s="671"/>
      <c r="C59" s="671"/>
      <c r="D59" s="671"/>
      <c r="E59" s="671"/>
      <c r="F59" s="671"/>
      <c r="G59" s="671"/>
      <c r="H59" s="671"/>
      <c r="I59" s="671"/>
      <c r="J59" s="672"/>
      <c r="K59" s="673"/>
      <c r="L59" s="673"/>
      <c r="M59" s="268"/>
      <c r="N59" s="268"/>
      <c r="O59" s="267"/>
      <c r="R59" s="266"/>
      <c r="S59" s="266"/>
      <c r="T59" s="266"/>
      <c r="U59" s="266"/>
    </row>
    <row r="60" spans="1:21" s="265" customFormat="1">
      <c r="A60" s="671"/>
      <c r="B60" s="671"/>
      <c r="C60" s="671"/>
      <c r="D60" s="671"/>
      <c r="E60" s="671"/>
      <c r="F60" s="671"/>
      <c r="G60" s="671"/>
      <c r="H60" s="671"/>
      <c r="I60" s="671"/>
      <c r="J60" s="672"/>
      <c r="K60" s="673"/>
      <c r="L60" s="673"/>
      <c r="M60" s="268"/>
      <c r="N60" s="268"/>
      <c r="O60" s="267"/>
      <c r="R60" s="266"/>
      <c r="S60" s="266"/>
      <c r="T60" s="266"/>
      <c r="U60" s="266"/>
    </row>
    <row r="61" spans="1:21" s="265" customFormat="1">
      <c r="A61" s="671"/>
      <c r="B61" s="671"/>
      <c r="C61" s="671"/>
      <c r="D61" s="671"/>
      <c r="E61" s="671"/>
      <c r="F61" s="671"/>
      <c r="G61" s="671"/>
      <c r="H61" s="671"/>
      <c r="I61" s="671"/>
      <c r="J61" s="672"/>
      <c r="K61" s="673"/>
      <c r="L61" s="673"/>
      <c r="M61" s="268"/>
      <c r="N61" s="268"/>
      <c r="O61" s="267"/>
      <c r="R61" s="266"/>
      <c r="S61" s="266"/>
      <c r="T61" s="266"/>
      <c r="U61" s="266"/>
    </row>
    <row r="62" spans="1:21" s="265" customFormat="1">
      <c r="A62" s="671"/>
      <c r="B62" s="671"/>
      <c r="C62" s="671"/>
      <c r="D62" s="671"/>
      <c r="E62" s="671"/>
      <c r="F62" s="671"/>
      <c r="G62" s="671"/>
      <c r="H62" s="671"/>
      <c r="I62" s="671"/>
      <c r="J62" s="672"/>
      <c r="K62" s="673"/>
      <c r="L62" s="673"/>
      <c r="M62" s="268"/>
      <c r="N62" s="268"/>
      <c r="O62" s="267"/>
      <c r="R62" s="266"/>
      <c r="S62" s="266"/>
      <c r="T62" s="266"/>
      <c r="U62" s="266"/>
    </row>
    <row r="63" spans="1:21" s="265" customFormat="1">
      <c r="A63" s="671"/>
      <c r="B63" s="671"/>
      <c r="C63" s="671"/>
      <c r="D63" s="671"/>
      <c r="E63" s="671"/>
      <c r="F63" s="671"/>
      <c r="G63" s="671"/>
      <c r="H63" s="671"/>
      <c r="I63" s="671"/>
      <c r="J63" s="672"/>
      <c r="K63" s="673"/>
      <c r="L63" s="673"/>
      <c r="M63" s="268"/>
      <c r="N63" s="268"/>
      <c r="O63" s="267"/>
      <c r="R63" s="266"/>
      <c r="S63" s="266"/>
      <c r="T63" s="266"/>
      <c r="U63" s="266"/>
    </row>
    <row r="64" spans="1:21" s="265" customFormat="1">
      <c r="A64" s="671"/>
      <c r="B64" s="671"/>
      <c r="C64" s="671"/>
      <c r="D64" s="671"/>
      <c r="E64" s="671"/>
      <c r="F64" s="671"/>
      <c r="G64" s="671"/>
      <c r="H64" s="671"/>
      <c r="I64" s="671"/>
      <c r="J64" s="672"/>
      <c r="K64" s="673"/>
      <c r="L64" s="673"/>
      <c r="M64" s="268"/>
      <c r="N64" s="268"/>
      <c r="O64" s="267"/>
      <c r="R64" s="266"/>
      <c r="S64" s="266"/>
      <c r="T64" s="266"/>
      <c r="U64" s="266"/>
    </row>
    <row r="65" spans="1:21" s="265" customFormat="1">
      <c r="A65" s="671"/>
      <c r="B65" s="671"/>
      <c r="C65" s="671"/>
      <c r="D65" s="671"/>
      <c r="E65" s="671"/>
      <c r="F65" s="671"/>
      <c r="G65" s="671"/>
      <c r="H65" s="671"/>
      <c r="I65" s="671"/>
      <c r="J65" s="672"/>
      <c r="K65" s="673"/>
      <c r="L65" s="673"/>
      <c r="M65" s="268"/>
      <c r="N65" s="268"/>
      <c r="O65" s="267"/>
      <c r="R65" s="266"/>
      <c r="S65" s="266"/>
      <c r="T65" s="266"/>
      <c r="U65" s="266"/>
    </row>
    <row r="66" spans="1:21" s="265" customFormat="1">
      <c r="A66" s="671"/>
      <c r="B66" s="671"/>
      <c r="C66" s="671"/>
      <c r="D66" s="671"/>
      <c r="E66" s="671"/>
      <c r="F66" s="671"/>
      <c r="G66" s="671"/>
      <c r="H66" s="671"/>
      <c r="I66" s="671"/>
      <c r="J66" s="672"/>
      <c r="K66" s="673"/>
      <c r="L66" s="673"/>
      <c r="M66" s="268"/>
      <c r="N66" s="268"/>
      <c r="O66" s="267"/>
      <c r="R66" s="266"/>
      <c r="S66" s="266"/>
      <c r="T66" s="266"/>
      <c r="U66" s="266"/>
    </row>
    <row r="67" spans="1:21" s="265" customFormat="1">
      <c r="A67" s="671"/>
      <c r="B67" s="671"/>
      <c r="C67" s="671"/>
      <c r="D67" s="671"/>
      <c r="E67" s="671"/>
      <c r="F67" s="671"/>
      <c r="G67" s="671"/>
      <c r="H67" s="671"/>
      <c r="I67" s="671"/>
      <c r="J67" s="672"/>
      <c r="K67" s="673"/>
      <c r="L67" s="673"/>
      <c r="M67" s="268"/>
      <c r="N67" s="268"/>
      <c r="O67" s="267"/>
      <c r="R67" s="266"/>
      <c r="S67" s="266"/>
      <c r="T67" s="266"/>
      <c r="U67" s="266"/>
    </row>
    <row r="68" spans="1:21" s="265" customFormat="1">
      <c r="A68" s="671"/>
      <c r="B68" s="671"/>
      <c r="C68" s="671"/>
      <c r="D68" s="671"/>
      <c r="E68" s="671"/>
      <c r="F68" s="671"/>
      <c r="G68" s="671"/>
      <c r="H68" s="671"/>
      <c r="I68" s="671"/>
      <c r="J68" s="672"/>
      <c r="K68" s="673"/>
      <c r="L68" s="673"/>
      <c r="M68" s="268"/>
      <c r="N68" s="268"/>
      <c r="O68" s="267"/>
      <c r="R68" s="266"/>
      <c r="S68" s="266"/>
      <c r="T68" s="266"/>
      <c r="U68" s="266"/>
    </row>
    <row r="69" spans="1:21" s="265" customFormat="1">
      <c r="A69" s="671"/>
      <c r="B69" s="671"/>
      <c r="C69" s="671"/>
      <c r="D69" s="671"/>
      <c r="E69" s="671"/>
      <c r="F69" s="671"/>
      <c r="G69" s="671"/>
      <c r="H69" s="671"/>
      <c r="I69" s="671"/>
      <c r="J69" s="672"/>
      <c r="K69" s="673"/>
      <c r="L69" s="673"/>
      <c r="M69" s="268"/>
      <c r="N69" s="268"/>
      <c r="O69" s="267"/>
      <c r="R69" s="266"/>
      <c r="S69" s="266"/>
      <c r="T69" s="266"/>
      <c r="U69" s="266"/>
    </row>
    <row r="70" spans="1:21" s="265" customFormat="1">
      <c r="A70" s="671"/>
      <c r="B70" s="671"/>
      <c r="C70" s="671"/>
      <c r="D70" s="671"/>
      <c r="E70" s="671"/>
      <c r="F70" s="671"/>
      <c r="G70" s="671"/>
      <c r="H70" s="671"/>
      <c r="I70" s="671"/>
      <c r="J70" s="672"/>
      <c r="K70" s="673"/>
      <c r="L70" s="673"/>
      <c r="M70" s="268"/>
      <c r="N70" s="268"/>
      <c r="O70" s="267"/>
      <c r="R70" s="266"/>
      <c r="S70" s="266"/>
      <c r="T70" s="266"/>
      <c r="U70" s="266"/>
    </row>
    <row r="71" spans="1:21">
      <c r="A71" s="242"/>
      <c r="B71" s="242" t="s">
        <v>636</v>
      </c>
      <c r="C71" s="242"/>
      <c r="D71" s="242"/>
      <c r="E71" s="242"/>
      <c r="F71" s="674"/>
      <c r="G71" s="242"/>
      <c r="H71" s="242"/>
      <c r="I71" s="242"/>
      <c r="J71" s="242"/>
      <c r="K71" s="674"/>
      <c r="L71" s="674"/>
      <c r="M71" s="268"/>
      <c r="N71" s="75"/>
    </row>
    <row r="72" spans="1:21">
      <c r="A72" s="232"/>
      <c r="B72" s="232" t="s">
        <v>637</v>
      </c>
      <c r="C72" s="232"/>
      <c r="D72" s="232"/>
      <c r="E72" s="232"/>
      <c r="F72" s="233"/>
      <c r="G72" s="232"/>
      <c r="H72" s="232"/>
      <c r="I72" s="232"/>
      <c r="J72" s="232"/>
      <c r="K72" s="233"/>
      <c r="L72" s="233"/>
      <c r="M72" s="75"/>
      <c r="N72" s="75"/>
    </row>
    <row r="73" spans="1:21">
      <c r="A73" s="232"/>
      <c r="B73" s="242" t="s">
        <v>735</v>
      </c>
      <c r="C73" s="232"/>
      <c r="D73" s="232"/>
      <c r="E73" s="232"/>
      <c r="F73" s="233"/>
      <c r="G73" s="232"/>
      <c r="H73" s="232"/>
      <c r="I73" s="473" t="s">
        <v>22</v>
      </c>
      <c r="J73" s="658">
        <f>J51</f>
        <v>141045.94</v>
      </c>
      <c r="K73" s="233"/>
      <c r="L73" s="233"/>
      <c r="M73" s="75"/>
      <c r="N73" s="75"/>
    </row>
    <row r="74" spans="1:21">
      <c r="A74" s="232"/>
      <c r="B74" s="232"/>
      <c r="C74" s="232"/>
      <c r="D74" s="232"/>
      <c r="E74" s="232"/>
      <c r="F74" s="233"/>
      <c r="G74" s="232"/>
      <c r="H74" s="232"/>
      <c r="I74" s="232"/>
      <c r="J74" s="232"/>
      <c r="K74" s="233"/>
      <c r="L74" s="233"/>
      <c r="M74" s="75"/>
      <c r="N74" s="75"/>
    </row>
    <row r="76" spans="1:21">
      <c r="J76" s="86"/>
    </row>
    <row r="77" spans="1:21">
      <c r="I77" s="86"/>
      <c r="K77" s="29"/>
      <c r="L77" s="30"/>
      <c r="M77" s="83"/>
      <c r="N77" s="83"/>
    </row>
    <row r="78" spans="1:21">
      <c r="J78" s="107"/>
      <c r="K78" s="31"/>
    </row>
  </sheetData>
  <sheetProtection password="E491" sheet="1" objects="1" scenarios="1"/>
  <mergeCells count="34">
    <mergeCell ref="C6:C7"/>
    <mergeCell ref="D6:D7"/>
    <mergeCell ref="J3:L3"/>
    <mergeCell ref="J4:L4"/>
    <mergeCell ref="A2:A4"/>
    <mergeCell ref="A51:I51"/>
    <mergeCell ref="K51:L51"/>
    <mergeCell ref="B42:I42"/>
    <mergeCell ref="B30:I30"/>
    <mergeCell ref="B20:I20"/>
    <mergeCell ref="K9:L9"/>
    <mergeCell ref="K12:L12"/>
    <mergeCell ref="K20:L20"/>
    <mergeCell ref="K30:L30"/>
    <mergeCell ref="K42:L42"/>
    <mergeCell ref="K6:K7"/>
    <mergeCell ref="L6:L7"/>
    <mergeCell ref="D5:G5"/>
    <mergeCell ref="A1:M1"/>
    <mergeCell ref="C2:L2"/>
    <mergeCell ref="B35:I35"/>
    <mergeCell ref="K35:L35"/>
    <mergeCell ref="K32:L32"/>
    <mergeCell ref="K34:L34"/>
    <mergeCell ref="A6:A7"/>
    <mergeCell ref="B12:I12"/>
    <mergeCell ref="B9:I9"/>
    <mergeCell ref="B6:B7"/>
    <mergeCell ref="G6:J6"/>
    <mergeCell ref="F6:F7"/>
    <mergeCell ref="E6:E7"/>
    <mergeCell ref="C3:G3"/>
    <mergeCell ref="B4:I4"/>
    <mergeCell ref="H3:I3"/>
  </mergeCells>
  <printOptions horizontalCentered="1"/>
  <pageMargins left="0.51181102362204722" right="0.51181102362204722" top="0.59055118110236227" bottom="0.39370078740157483" header="0.31496062992125984" footer="0.19685039370078741"/>
  <pageSetup paperSize="9" scale="65" orientation="landscape" r:id="rId1"/>
  <headerFooter>
    <oddFooter>&amp;CEng° Darcio Pagani Vieira
Crea/SC - 077.222-9</oddFooter>
  </headerFooter>
  <ignoredErrors>
    <ignoredError sqref="D26:D27 J20 D33 J30 D24 J12 J35 J42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O48"/>
  <sheetViews>
    <sheetView showGridLines="0" view="pageBreakPreview" zoomScale="130" zoomScaleSheetLayoutView="130" workbookViewId="0">
      <pane ySplit="3" topLeftCell="A4" activePane="bottomLeft" state="frozen"/>
      <selection activeCell="D21" sqref="D21"/>
      <selection pane="bottomLeft" activeCell="D21" sqref="D21"/>
    </sheetView>
  </sheetViews>
  <sheetFormatPr defaultRowHeight="13.8"/>
  <cols>
    <col min="1" max="4" width="4" style="349" customWidth="1"/>
    <col min="5" max="5" width="1.5546875" style="349" bestFit="1" customWidth="1"/>
    <col min="6" max="6" width="4" style="349" customWidth="1"/>
    <col min="7" max="7" width="25" style="349" bestFit="1" customWidth="1"/>
    <col min="8" max="8" width="7.88671875" style="349" bestFit="1" customWidth="1"/>
    <col min="9" max="9" width="11.5546875" style="349" bestFit="1" customWidth="1"/>
    <col min="10" max="11" width="7.6640625" style="349" bestFit="1" customWidth="1"/>
    <col min="12" max="12" width="24.109375" style="349" bestFit="1" customWidth="1"/>
    <col min="13" max="13" width="20.44140625" style="349" customWidth="1"/>
    <col min="14" max="257" width="9.109375" style="349"/>
    <col min="258" max="263" width="4.88671875" style="349" customWidth="1"/>
    <col min="264" max="264" width="8.44140625" style="349" bestFit="1" customWidth="1"/>
    <col min="265" max="265" width="12.6640625" style="349" customWidth="1"/>
    <col min="266" max="266" width="15.44140625" style="349" bestFit="1" customWidth="1"/>
    <col min="267" max="269" width="12.6640625" style="349" customWidth="1"/>
    <col min="270" max="513" width="9.109375" style="349"/>
    <col min="514" max="519" width="4.88671875" style="349" customWidth="1"/>
    <col min="520" max="520" width="8.44140625" style="349" bestFit="1" customWidth="1"/>
    <col min="521" max="521" width="12.6640625" style="349" customWidth="1"/>
    <col min="522" max="522" width="15.44140625" style="349" bestFit="1" customWidth="1"/>
    <col min="523" max="525" width="12.6640625" style="349" customWidth="1"/>
    <col min="526" max="769" width="9.109375" style="349"/>
    <col min="770" max="775" width="4.88671875" style="349" customWidth="1"/>
    <col min="776" max="776" width="8.44140625" style="349" bestFit="1" customWidth="1"/>
    <col min="777" max="777" width="12.6640625" style="349" customWidth="1"/>
    <col min="778" max="778" width="15.44140625" style="349" bestFit="1" customWidth="1"/>
    <col min="779" max="781" width="12.6640625" style="349" customWidth="1"/>
    <col min="782" max="1025" width="9.109375" style="349"/>
    <col min="1026" max="1031" width="4.88671875" style="349" customWidth="1"/>
    <col min="1032" max="1032" width="8.44140625" style="349" bestFit="1" customWidth="1"/>
    <col min="1033" max="1033" width="12.6640625" style="349" customWidth="1"/>
    <col min="1034" max="1034" width="15.44140625" style="349" bestFit="1" customWidth="1"/>
    <col min="1035" max="1037" width="12.6640625" style="349" customWidth="1"/>
    <col min="1038" max="1281" width="9.109375" style="349"/>
    <col min="1282" max="1287" width="4.88671875" style="349" customWidth="1"/>
    <col min="1288" max="1288" width="8.44140625" style="349" bestFit="1" customWidth="1"/>
    <col min="1289" max="1289" width="12.6640625" style="349" customWidth="1"/>
    <col min="1290" max="1290" width="15.44140625" style="349" bestFit="1" customWidth="1"/>
    <col min="1291" max="1293" width="12.6640625" style="349" customWidth="1"/>
    <col min="1294" max="1537" width="9.109375" style="349"/>
    <col min="1538" max="1543" width="4.88671875" style="349" customWidth="1"/>
    <col min="1544" max="1544" width="8.44140625" style="349" bestFit="1" customWidth="1"/>
    <col min="1545" max="1545" width="12.6640625" style="349" customWidth="1"/>
    <col min="1546" max="1546" width="15.44140625" style="349" bestFit="1" customWidth="1"/>
    <col min="1547" max="1549" width="12.6640625" style="349" customWidth="1"/>
    <col min="1550" max="1793" width="9.109375" style="349"/>
    <col min="1794" max="1799" width="4.88671875" style="349" customWidth="1"/>
    <col min="1800" max="1800" width="8.44140625" style="349" bestFit="1" customWidth="1"/>
    <col min="1801" max="1801" width="12.6640625" style="349" customWidth="1"/>
    <col min="1802" max="1802" width="15.44140625" style="349" bestFit="1" customWidth="1"/>
    <col min="1803" max="1805" width="12.6640625" style="349" customWidth="1"/>
    <col min="1806" max="2049" width="9.109375" style="349"/>
    <col min="2050" max="2055" width="4.88671875" style="349" customWidth="1"/>
    <col min="2056" max="2056" width="8.44140625" style="349" bestFit="1" customWidth="1"/>
    <col min="2057" max="2057" width="12.6640625" style="349" customWidth="1"/>
    <col min="2058" max="2058" width="15.44140625" style="349" bestFit="1" customWidth="1"/>
    <col min="2059" max="2061" width="12.6640625" style="349" customWidth="1"/>
    <col min="2062" max="2305" width="9.109375" style="349"/>
    <col min="2306" max="2311" width="4.88671875" style="349" customWidth="1"/>
    <col min="2312" max="2312" width="8.44140625" style="349" bestFit="1" customWidth="1"/>
    <col min="2313" max="2313" width="12.6640625" style="349" customWidth="1"/>
    <col min="2314" max="2314" width="15.44140625" style="349" bestFit="1" customWidth="1"/>
    <col min="2315" max="2317" width="12.6640625" style="349" customWidth="1"/>
    <col min="2318" max="2561" width="9.109375" style="349"/>
    <col min="2562" max="2567" width="4.88671875" style="349" customWidth="1"/>
    <col min="2568" max="2568" width="8.44140625" style="349" bestFit="1" customWidth="1"/>
    <col min="2569" max="2569" width="12.6640625" style="349" customWidth="1"/>
    <col min="2570" max="2570" width="15.44140625" style="349" bestFit="1" customWidth="1"/>
    <col min="2571" max="2573" width="12.6640625" style="349" customWidth="1"/>
    <col min="2574" max="2817" width="9.109375" style="349"/>
    <col min="2818" max="2823" width="4.88671875" style="349" customWidth="1"/>
    <col min="2824" max="2824" width="8.44140625" style="349" bestFit="1" customWidth="1"/>
    <col min="2825" max="2825" width="12.6640625" style="349" customWidth="1"/>
    <col min="2826" max="2826" width="15.44140625" style="349" bestFit="1" customWidth="1"/>
    <col min="2827" max="2829" width="12.6640625" style="349" customWidth="1"/>
    <col min="2830" max="3073" width="9.109375" style="349"/>
    <col min="3074" max="3079" width="4.88671875" style="349" customWidth="1"/>
    <col min="3080" max="3080" width="8.44140625" style="349" bestFit="1" customWidth="1"/>
    <col min="3081" max="3081" width="12.6640625" style="349" customWidth="1"/>
    <col min="3082" max="3082" width="15.44140625" style="349" bestFit="1" customWidth="1"/>
    <col min="3083" max="3085" width="12.6640625" style="349" customWidth="1"/>
    <col min="3086" max="3329" width="9.109375" style="349"/>
    <col min="3330" max="3335" width="4.88671875" style="349" customWidth="1"/>
    <col min="3336" max="3336" width="8.44140625" style="349" bestFit="1" customWidth="1"/>
    <col min="3337" max="3337" width="12.6640625" style="349" customWidth="1"/>
    <col min="3338" max="3338" width="15.44140625" style="349" bestFit="1" customWidth="1"/>
    <col min="3339" max="3341" width="12.6640625" style="349" customWidth="1"/>
    <col min="3342" max="3585" width="9.109375" style="349"/>
    <col min="3586" max="3591" width="4.88671875" style="349" customWidth="1"/>
    <col min="3592" max="3592" width="8.44140625" style="349" bestFit="1" customWidth="1"/>
    <col min="3593" max="3593" width="12.6640625" style="349" customWidth="1"/>
    <col min="3594" max="3594" width="15.44140625" style="349" bestFit="1" customWidth="1"/>
    <col min="3595" max="3597" width="12.6640625" style="349" customWidth="1"/>
    <col min="3598" max="3841" width="9.109375" style="349"/>
    <col min="3842" max="3847" width="4.88671875" style="349" customWidth="1"/>
    <col min="3848" max="3848" width="8.44140625" style="349" bestFit="1" customWidth="1"/>
    <col min="3849" max="3849" width="12.6640625" style="349" customWidth="1"/>
    <col min="3850" max="3850" width="15.44140625" style="349" bestFit="1" customWidth="1"/>
    <col min="3851" max="3853" width="12.6640625" style="349" customWidth="1"/>
    <col min="3854" max="4097" width="9.109375" style="349"/>
    <col min="4098" max="4103" width="4.88671875" style="349" customWidth="1"/>
    <col min="4104" max="4104" width="8.44140625" style="349" bestFit="1" customWidth="1"/>
    <col min="4105" max="4105" width="12.6640625" style="349" customWidth="1"/>
    <col min="4106" max="4106" width="15.44140625" style="349" bestFit="1" customWidth="1"/>
    <col min="4107" max="4109" width="12.6640625" style="349" customWidth="1"/>
    <col min="4110" max="4353" width="9.109375" style="349"/>
    <col min="4354" max="4359" width="4.88671875" style="349" customWidth="1"/>
    <col min="4360" max="4360" width="8.44140625" style="349" bestFit="1" customWidth="1"/>
    <col min="4361" max="4361" width="12.6640625" style="349" customWidth="1"/>
    <col min="4362" max="4362" width="15.44140625" style="349" bestFit="1" customWidth="1"/>
    <col min="4363" max="4365" width="12.6640625" style="349" customWidth="1"/>
    <col min="4366" max="4609" width="9.109375" style="349"/>
    <col min="4610" max="4615" width="4.88671875" style="349" customWidth="1"/>
    <col min="4616" max="4616" width="8.44140625" style="349" bestFit="1" customWidth="1"/>
    <col min="4617" max="4617" width="12.6640625" style="349" customWidth="1"/>
    <col min="4618" max="4618" width="15.44140625" style="349" bestFit="1" customWidth="1"/>
    <col min="4619" max="4621" width="12.6640625" style="349" customWidth="1"/>
    <col min="4622" max="4865" width="9.109375" style="349"/>
    <col min="4866" max="4871" width="4.88671875" style="349" customWidth="1"/>
    <col min="4872" max="4872" width="8.44140625" style="349" bestFit="1" customWidth="1"/>
    <col min="4873" max="4873" width="12.6640625" style="349" customWidth="1"/>
    <col min="4874" max="4874" width="15.44140625" style="349" bestFit="1" customWidth="1"/>
    <col min="4875" max="4877" width="12.6640625" style="349" customWidth="1"/>
    <col min="4878" max="5121" width="9.109375" style="349"/>
    <col min="5122" max="5127" width="4.88671875" style="349" customWidth="1"/>
    <col min="5128" max="5128" width="8.44140625" style="349" bestFit="1" customWidth="1"/>
    <col min="5129" max="5129" width="12.6640625" style="349" customWidth="1"/>
    <col min="5130" max="5130" width="15.44140625" style="349" bestFit="1" customWidth="1"/>
    <col min="5131" max="5133" width="12.6640625" style="349" customWidth="1"/>
    <col min="5134" max="5377" width="9.109375" style="349"/>
    <col min="5378" max="5383" width="4.88671875" style="349" customWidth="1"/>
    <col min="5384" max="5384" width="8.44140625" style="349" bestFit="1" customWidth="1"/>
    <col min="5385" max="5385" width="12.6640625" style="349" customWidth="1"/>
    <col min="5386" max="5386" width="15.44140625" style="349" bestFit="1" customWidth="1"/>
    <col min="5387" max="5389" width="12.6640625" style="349" customWidth="1"/>
    <col min="5390" max="5633" width="9.109375" style="349"/>
    <col min="5634" max="5639" width="4.88671875" style="349" customWidth="1"/>
    <col min="5640" max="5640" width="8.44140625" style="349" bestFit="1" customWidth="1"/>
    <col min="5641" max="5641" width="12.6640625" style="349" customWidth="1"/>
    <col min="5642" max="5642" width="15.44140625" style="349" bestFit="1" customWidth="1"/>
    <col min="5643" max="5645" width="12.6640625" style="349" customWidth="1"/>
    <col min="5646" max="5889" width="9.109375" style="349"/>
    <col min="5890" max="5895" width="4.88671875" style="349" customWidth="1"/>
    <col min="5896" max="5896" width="8.44140625" style="349" bestFit="1" customWidth="1"/>
    <col min="5897" max="5897" width="12.6640625" style="349" customWidth="1"/>
    <col min="5898" max="5898" width="15.44140625" style="349" bestFit="1" customWidth="1"/>
    <col min="5899" max="5901" width="12.6640625" style="349" customWidth="1"/>
    <col min="5902" max="6145" width="9.109375" style="349"/>
    <col min="6146" max="6151" width="4.88671875" style="349" customWidth="1"/>
    <col min="6152" max="6152" width="8.44140625" style="349" bestFit="1" customWidth="1"/>
    <col min="6153" max="6153" width="12.6640625" style="349" customWidth="1"/>
    <col min="6154" max="6154" width="15.44140625" style="349" bestFit="1" customWidth="1"/>
    <col min="6155" max="6157" width="12.6640625" style="349" customWidth="1"/>
    <col min="6158" max="6401" width="9.109375" style="349"/>
    <col min="6402" max="6407" width="4.88671875" style="349" customWidth="1"/>
    <col min="6408" max="6408" width="8.44140625" style="349" bestFit="1" customWidth="1"/>
    <col min="6409" max="6409" width="12.6640625" style="349" customWidth="1"/>
    <col min="6410" max="6410" width="15.44140625" style="349" bestFit="1" customWidth="1"/>
    <col min="6411" max="6413" width="12.6640625" style="349" customWidth="1"/>
    <col min="6414" max="6657" width="9.109375" style="349"/>
    <col min="6658" max="6663" width="4.88671875" style="349" customWidth="1"/>
    <col min="6664" max="6664" width="8.44140625" style="349" bestFit="1" customWidth="1"/>
    <col min="6665" max="6665" width="12.6640625" style="349" customWidth="1"/>
    <col min="6666" max="6666" width="15.44140625" style="349" bestFit="1" customWidth="1"/>
    <col min="6667" max="6669" width="12.6640625" style="349" customWidth="1"/>
    <col min="6670" max="6913" width="9.109375" style="349"/>
    <col min="6914" max="6919" width="4.88671875" style="349" customWidth="1"/>
    <col min="6920" max="6920" width="8.44140625" style="349" bestFit="1" customWidth="1"/>
    <col min="6921" max="6921" width="12.6640625" style="349" customWidth="1"/>
    <col min="6922" max="6922" width="15.44140625" style="349" bestFit="1" customWidth="1"/>
    <col min="6923" max="6925" width="12.6640625" style="349" customWidth="1"/>
    <col min="6926" max="7169" width="9.109375" style="349"/>
    <col min="7170" max="7175" width="4.88671875" style="349" customWidth="1"/>
    <col min="7176" max="7176" width="8.44140625" style="349" bestFit="1" customWidth="1"/>
    <col min="7177" max="7177" width="12.6640625" style="349" customWidth="1"/>
    <col min="7178" max="7178" width="15.44140625" style="349" bestFit="1" customWidth="1"/>
    <col min="7179" max="7181" width="12.6640625" style="349" customWidth="1"/>
    <col min="7182" max="7425" width="9.109375" style="349"/>
    <col min="7426" max="7431" width="4.88671875" style="349" customWidth="1"/>
    <col min="7432" max="7432" width="8.44140625" style="349" bestFit="1" customWidth="1"/>
    <col min="7433" max="7433" width="12.6640625" style="349" customWidth="1"/>
    <col min="7434" max="7434" width="15.44140625" style="349" bestFit="1" customWidth="1"/>
    <col min="7435" max="7437" width="12.6640625" style="349" customWidth="1"/>
    <col min="7438" max="7681" width="9.109375" style="349"/>
    <col min="7682" max="7687" width="4.88671875" style="349" customWidth="1"/>
    <col min="7688" max="7688" width="8.44140625" style="349" bestFit="1" customWidth="1"/>
    <col min="7689" max="7689" width="12.6640625" style="349" customWidth="1"/>
    <col min="7690" max="7690" width="15.44140625" style="349" bestFit="1" customWidth="1"/>
    <col min="7691" max="7693" width="12.6640625" style="349" customWidth="1"/>
    <col min="7694" max="7937" width="9.109375" style="349"/>
    <col min="7938" max="7943" width="4.88671875" style="349" customWidth="1"/>
    <col min="7944" max="7944" width="8.44140625" style="349" bestFit="1" customWidth="1"/>
    <col min="7945" max="7945" width="12.6640625" style="349" customWidth="1"/>
    <col min="7946" max="7946" width="15.44140625" style="349" bestFit="1" customWidth="1"/>
    <col min="7947" max="7949" width="12.6640625" style="349" customWidth="1"/>
    <col min="7950" max="8193" width="9.109375" style="349"/>
    <col min="8194" max="8199" width="4.88671875" style="349" customWidth="1"/>
    <col min="8200" max="8200" width="8.44140625" style="349" bestFit="1" customWidth="1"/>
    <col min="8201" max="8201" width="12.6640625" style="349" customWidth="1"/>
    <col min="8202" max="8202" width="15.44140625" style="349" bestFit="1" customWidth="1"/>
    <col min="8203" max="8205" width="12.6640625" style="349" customWidth="1"/>
    <col min="8206" max="8449" width="9.109375" style="349"/>
    <col min="8450" max="8455" width="4.88671875" style="349" customWidth="1"/>
    <col min="8456" max="8456" width="8.44140625" style="349" bestFit="1" customWidth="1"/>
    <col min="8457" max="8457" width="12.6640625" style="349" customWidth="1"/>
    <col min="8458" max="8458" width="15.44140625" style="349" bestFit="1" customWidth="1"/>
    <col min="8459" max="8461" width="12.6640625" style="349" customWidth="1"/>
    <col min="8462" max="8705" width="9.109375" style="349"/>
    <col min="8706" max="8711" width="4.88671875" style="349" customWidth="1"/>
    <col min="8712" max="8712" width="8.44140625" style="349" bestFit="1" customWidth="1"/>
    <col min="8713" max="8713" width="12.6640625" style="349" customWidth="1"/>
    <col min="8714" max="8714" width="15.44140625" style="349" bestFit="1" customWidth="1"/>
    <col min="8715" max="8717" width="12.6640625" style="349" customWidth="1"/>
    <col min="8718" max="8961" width="9.109375" style="349"/>
    <col min="8962" max="8967" width="4.88671875" style="349" customWidth="1"/>
    <col min="8968" max="8968" width="8.44140625" style="349" bestFit="1" customWidth="1"/>
    <col min="8969" max="8969" width="12.6640625" style="349" customWidth="1"/>
    <col min="8970" max="8970" width="15.44140625" style="349" bestFit="1" customWidth="1"/>
    <col min="8971" max="8973" width="12.6640625" style="349" customWidth="1"/>
    <col min="8974" max="9217" width="9.109375" style="349"/>
    <col min="9218" max="9223" width="4.88671875" style="349" customWidth="1"/>
    <col min="9224" max="9224" width="8.44140625" style="349" bestFit="1" customWidth="1"/>
    <col min="9225" max="9225" width="12.6640625" style="349" customWidth="1"/>
    <col min="9226" max="9226" width="15.44140625" style="349" bestFit="1" customWidth="1"/>
    <col min="9227" max="9229" width="12.6640625" style="349" customWidth="1"/>
    <col min="9230" max="9473" width="9.109375" style="349"/>
    <col min="9474" max="9479" width="4.88671875" style="349" customWidth="1"/>
    <col min="9480" max="9480" width="8.44140625" style="349" bestFit="1" customWidth="1"/>
    <col min="9481" max="9481" width="12.6640625" style="349" customWidth="1"/>
    <col min="9482" max="9482" width="15.44140625" style="349" bestFit="1" customWidth="1"/>
    <col min="9483" max="9485" width="12.6640625" style="349" customWidth="1"/>
    <col min="9486" max="9729" width="9.109375" style="349"/>
    <col min="9730" max="9735" width="4.88671875" style="349" customWidth="1"/>
    <col min="9736" max="9736" width="8.44140625" style="349" bestFit="1" customWidth="1"/>
    <col min="9737" max="9737" width="12.6640625" style="349" customWidth="1"/>
    <col min="9738" max="9738" width="15.44140625" style="349" bestFit="1" customWidth="1"/>
    <col min="9739" max="9741" width="12.6640625" style="349" customWidth="1"/>
    <col min="9742" max="9985" width="9.109375" style="349"/>
    <col min="9986" max="9991" width="4.88671875" style="349" customWidth="1"/>
    <col min="9992" max="9992" width="8.44140625" style="349" bestFit="1" customWidth="1"/>
    <col min="9993" max="9993" width="12.6640625" style="349" customWidth="1"/>
    <col min="9994" max="9994" width="15.44140625" style="349" bestFit="1" customWidth="1"/>
    <col min="9995" max="9997" width="12.6640625" style="349" customWidth="1"/>
    <col min="9998" max="10241" width="9.109375" style="349"/>
    <col min="10242" max="10247" width="4.88671875" style="349" customWidth="1"/>
    <col min="10248" max="10248" width="8.44140625" style="349" bestFit="1" customWidth="1"/>
    <col min="10249" max="10249" width="12.6640625" style="349" customWidth="1"/>
    <col min="10250" max="10250" width="15.44140625" style="349" bestFit="1" customWidth="1"/>
    <col min="10251" max="10253" width="12.6640625" style="349" customWidth="1"/>
    <col min="10254" max="10497" width="9.109375" style="349"/>
    <col min="10498" max="10503" width="4.88671875" style="349" customWidth="1"/>
    <col min="10504" max="10504" width="8.44140625" style="349" bestFit="1" customWidth="1"/>
    <col min="10505" max="10505" width="12.6640625" style="349" customWidth="1"/>
    <col min="10506" max="10506" width="15.44140625" style="349" bestFit="1" customWidth="1"/>
    <col min="10507" max="10509" width="12.6640625" style="349" customWidth="1"/>
    <col min="10510" max="10753" width="9.109375" style="349"/>
    <col min="10754" max="10759" width="4.88671875" style="349" customWidth="1"/>
    <col min="10760" max="10760" width="8.44140625" style="349" bestFit="1" customWidth="1"/>
    <col min="10761" max="10761" width="12.6640625" style="349" customWidth="1"/>
    <col min="10762" max="10762" width="15.44140625" style="349" bestFit="1" customWidth="1"/>
    <col min="10763" max="10765" width="12.6640625" style="349" customWidth="1"/>
    <col min="10766" max="11009" width="9.109375" style="349"/>
    <col min="11010" max="11015" width="4.88671875" style="349" customWidth="1"/>
    <col min="11016" max="11016" width="8.44140625" style="349" bestFit="1" customWidth="1"/>
    <col min="11017" max="11017" width="12.6640625" style="349" customWidth="1"/>
    <col min="11018" max="11018" width="15.44140625" style="349" bestFit="1" customWidth="1"/>
    <col min="11019" max="11021" width="12.6640625" style="349" customWidth="1"/>
    <col min="11022" max="11265" width="9.109375" style="349"/>
    <col min="11266" max="11271" width="4.88671875" style="349" customWidth="1"/>
    <col min="11272" max="11272" width="8.44140625" style="349" bestFit="1" customWidth="1"/>
    <col min="11273" max="11273" width="12.6640625" style="349" customWidth="1"/>
    <col min="11274" max="11274" width="15.44140625" style="349" bestFit="1" customWidth="1"/>
    <col min="11275" max="11277" width="12.6640625" style="349" customWidth="1"/>
    <col min="11278" max="11521" width="9.109375" style="349"/>
    <col min="11522" max="11527" width="4.88671875" style="349" customWidth="1"/>
    <col min="11528" max="11528" width="8.44140625" style="349" bestFit="1" customWidth="1"/>
    <col min="11529" max="11529" width="12.6640625" style="349" customWidth="1"/>
    <col min="11530" max="11530" width="15.44140625" style="349" bestFit="1" customWidth="1"/>
    <col min="11531" max="11533" width="12.6640625" style="349" customWidth="1"/>
    <col min="11534" max="11777" width="9.109375" style="349"/>
    <col min="11778" max="11783" width="4.88671875" style="349" customWidth="1"/>
    <col min="11784" max="11784" width="8.44140625" style="349" bestFit="1" customWidth="1"/>
    <col min="11785" max="11785" width="12.6640625" style="349" customWidth="1"/>
    <col min="11786" max="11786" width="15.44140625" style="349" bestFit="1" customWidth="1"/>
    <col min="11787" max="11789" width="12.6640625" style="349" customWidth="1"/>
    <col min="11790" max="12033" width="9.109375" style="349"/>
    <col min="12034" max="12039" width="4.88671875" style="349" customWidth="1"/>
    <col min="12040" max="12040" width="8.44140625" style="349" bestFit="1" customWidth="1"/>
    <col min="12041" max="12041" width="12.6640625" style="349" customWidth="1"/>
    <col min="12042" max="12042" width="15.44140625" style="349" bestFit="1" customWidth="1"/>
    <col min="12043" max="12045" width="12.6640625" style="349" customWidth="1"/>
    <col min="12046" max="12289" width="9.109375" style="349"/>
    <col min="12290" max="12295" width="4.88671875" style="349" customWidth="1"/>
    <col min="12296" max="12296" width="8.44140625" style="349" bestFit="1" customWidth="1"/>
    <col min="12297" max="12297" width="12.6640625" style="349" customWidth="1"/>
    <col min="12298" max="12298" width="15.44140625" style="349" bestFit="1" customWidth="1"/>
    <col min="12299" max="12301" width="12.6640625" style="349" customWidth="1"/>
    <col min="12302" max="12545" width="9.109375" style="349"/>
    <col min="12546" max="12551" width="4.88671875" style="349" customWidth="1"/>
    <col min="12552" max="12552" width="8.44140625" style="349" bestFit="1" customWidth="1"/>
    <col min="12553" max="12553" width="12.6640625" style="349" customWidth="1"/>
    <col min="12554" max="12554" width="15.44140625" style="349" bestFit="1" customWidth="1"/>
    <col min="12555" max="12557" width="12.6640625" style="349" customWidth="1"/>
    <col min="12558" max="12801" width="9.109375" style="349"/>
    <col min="12802" max="12807" width="4.88671875" style="349" customWidth="1"/>
    <col min="12808" max="12808" width="8.44140625" style="349" bestFit="1" customWidth="1"/>
    <col min="12809" max="12809" width="12.6640625" style="349" customWidth="1"/>
    <col min="12810" max="12810" width="15.44140625" style="349" bestFit="1" customWidth="1"/>
    <col min="12811" max="12813" width="12.6640625" style="349" customWidth="1"/>
    <col min="12814" max="13057" width="9.109375" style="349"/>
    <col min="13058" max="13063" width="4.88671875" style="349" customWidth="1"/>
    <col min="13064" max="13064" width="8.44140625" style="349" bestFit="1" customWidth="1"/>
    <col min="13065" max="13065" width="12.6640625" style="349" customWidth="1"/>
    <col min="13066" max="13066" width="15.44140625" style="349" bestFit="1" customWidth="1"/>
    <col min="13067" max="13069" width="12.6640625" style="349" customWidth="1"/>
    <col min="13070" max="13313" width="9.109375" style="349"/>
    <col min="13314" max="13319" width="4.88671875" style="349" customWidth="1"/>
    <col min="13320" max="13320" width="8.44140625" style="349" bestFit="1" customWidth="1"/>
    <col min="13321" max="13321" width="12.6640625" style="349" customWidth="1"/>
    <col min="13322" max="13322" width="15.44140625" style="349" bestFit="1" customWidth="1"/>
    <col min="13323" max="13325" width="12.6640625" style="349" customWidth="1"/>
    <col min="13326" max="13569" width="9.109375" style="349"/>
    <col min="13570" max="13575" width="4.88671875" style="349" customWidth="1"/>
    <col min="13576" max="13576" width="8.44140625" style="349" bestFit="1" customWidth="1"/>
    <col min="13577" max="13577" width="12.6640625" style="349" customWidth="1"/>
    <col min="13578" max="13578" width="15.44140625" style="349" bestFit="1" customWidth="1"/>
    <col min="13579" max="13581" width="12.6640625" style="349" customWidth="1"/>
    <col min="13582" max="13825" width="9.109375" style="349"/>
    <col min="13826" max="13831" width="4.88671875" style="349" customWidth="1"/>
    <col min="13832" max="13832" width="8.44140625" style="349" bestFit="1" customWidth="1"/>
    <col min="13833" max="13833" width="12.6640625" style="349" customWidth="1"/>
    <col min="13834" max="13834" width="15.44140625" style="349" bestFit="1" customWidth="1"/>
    <col min="13835" max="13837" width="12.6640625" style="349" customWidth="1"/>
    <col min="13838" max="14081" width="9.109375" style="349"/>
    <col min="14082" max="14087" width="4.88671875" style="349" customWidth="1"/>
    <col min="14088" max="14088" width="8.44140625" style="349" bestFit="1" customWidth="1"/>
    <col min="14089" max="14089" width="12.6640625" style="349" customWidth="1"/>
    <col min="14090" max="14090" width="15.44140625" style="349" bestFit="1" customWidth="1"/>
    <col min="14091" max="14093" width="12.6640625" style="349" customWidth="1"/>
    <col min="14094" max="14337" width="9.109375" style="349"/>
    <col min="14338" max="14343" width="4.88671875" style="349" customWidth="1"/>
    <col min="14344" max="14344" width="8.44140625" style="349" bestFit="1" customWidth="1"/>
    <col min="14345" max="14345" width="12.6640625" style="349" customWidth="1"/>
    <col min="14346" max="14346" width="15.44140625" style="349" bestFit="1" customWidth="1"/>
    <col min="14347" max="14349" width="12.6640625" style="349" customWidth="1"/>
    <col min="14350" max="14593" width="9.109375" style="349"/>
    <col min="14594" max="14599" width="4.88671875" style="349" customWidth="1"/>
    <col min="14600" max="14600" width="8.44140625" style="349" bestFit="1" customWidth="1"/>
    <col min="14601" max="14601" width="12.6640625" style="349" customWidth="1"/>
    <col min="14602" max="14602" width="15.44140625" style="349" bestFit="1" customWidth="1"/>
    <col min="14603" max="14605" width="12.6640625" style="349" customWidth="1"/>
    <col min="14606" max="14849" width="9.109375" style="349"/>
    <col min="14850" max="14855" width="4.88671875" style="349" customWidth="1"/>
    <col min="14856" max="14856" width="8.44140625" style="349" bestFit="1" customWidth="1"/>
    <col min="14857" max="14857" width="12.6640625" style="349" customWidth="1"/>
    <col min="14858" max="14858" width="15.44140625" style="349" bestFit="1" customWidth="1"/>
    <col min="14859" max="14861" width="12.6640625" style="349" customWidth="1"/>
    <col min="14862" max="15105" width="9.109375" style="349"/>
    <col min="15106" max="15111" width="4.88671875" style="349" customWidth="1"/>
    <col min="15112" max="15112" width="8.44140625" style="349" bestFit="1" customWidth="1"/>
    <col min="15113" max="15113" width="12.6640625" style="349" customWidth="1"/>
    <col min="15114" max="15114" width="15.44140625" style="349" bestFit="1" customWidth="1"/>
    <col min="15115" max="15117" width="12.6640625" style="349" customWidth="1"/>
    <col min="15118" max="15361" width="9.109375" style="349"/>
    <col min="15362" max="15367" width="4.88671875" style="349" customWidth="1"/>
    <col min="15368" max="15368" width="8.44140625" style="349" bestFit="1" customWidth="1"/>
    <col min="15369" max="15369" width="12.6640625" style="349" customWidth="1"/>
    <col min="15370" max="15370" width="15.44140625" style="349" bestFit="1" customWidth="1"/>
    <col min="15371" max="15373" width="12.6640625" style="349" customWidth="1"/>
    <col min="15374" max="15617" width="9.109375" style="349"/>
    <col min="15618" max="15623" width="4.88671875" style="349" customWidth="1"/>
    <col min="15624" max="15624" width="8.44140625" style="349" bestFit="1" customWidth="1"/>
    <col min="15625" max="15625" width="12.6640625" style="349" customWidth="1"/>
    <col min="15626" max="15626" width="15.44140625" style="349" bestFit="1" customWidth="1"/>
    <col min="15627" max="15629" width="12.6640625" style="349" customWidth="1"/>
    <col min="15630" max="15873" width="9.109375" style="349"/>
    <col min="15874" max="15879" width="4.88671875" style="349" customWidth="1"/>
    <col min="15880" max="15880" width="8.44140625" style="349" bestFit="1" customWidth="1"/>
    <col min="15881" max="15881" width="12.6640625" style="349" customWidth="1"/>
    <col min="15882" max="15882" width="15.44140625" style="349" bestFit="1" customWidth="1"/>
    <col min="15883" max="15885" width="12.6640625" style="349" customWidth="1"/>
    <col min="15886" max="16129" width="9.109375" style="349"/>
    <col min="16130" max="16135" width="4.88671875" style="349" customWidth="1"/>
    <col min="16136" max="16136" width="8.44140625" style="349" bestFit="1" customWidth="1"/>
    <col min="16137" max="16137" width="12.6640625" style="349" customWidth="1"/>
    <col min="16138" max="16138" width="15.44140625" style="349" bestFit="1" customWidth="1"/>
    <col min="16139" max="16141" width="12.6640625" style="349" customWidth="1"/>
    <col min="16142" max="16384" width="9.109375" style="349"/>
  </cols>
  <sheetData>
    <row r="1" spans="1:13" ht="33" customHeight="1">
      <c r="A1" s="876"/>
      <c r="B1" s="876"/>
      <c r="C1" s="876"/>
      <c r="D1" s="876" t="s">
        <v>522</v>
      </c>
      <c r="E1" s="876"/>
      <c r="F1" s="876"/>
      <c r="G1" s="876"/>
      <c r="H1" s="876"/>
      <c r="I1" s="876"/>
      <c r="J1" s="876"/>
      <c r="K1" s="876"/>
      <c r="L1" s="876"/>
      <c r="M1" s="876"/>
    </row>
    <row r="2" spans="1:13" ht="12.75" customHeight="1">
      <c r="A2" s="876"/>
      <c r="B2" s="876"/>
      <c r="C2" s="876"/>
      <c r="D2" s="877" t="str">
        <f>PAVIM.!G2</f>
        <v>PREFEITURA MUNICIPAL DE MARACAJÁ</v>
      </c>
      <c r="E2" s="877"/>
      <c r="F2" s="877"/>
      <c r="G2" s="877"/>
      <c r="H2" s="877"/>
      <c r="I2" s="830" t="str">
        <f>PAVIM.!I2</f>
        <v>BAIRRO: VILA BEATRIZ</v>
      </c>
      <c r="J2" s="830"/>
      <c r="K2" s="830"/>
      <c r="L2" s="365" t="str">
        <f>PAVIM.!K2</f>
        <v>MUNICIPIO: MARACAJÁ</v>
      </c>
      <c r="M2" s="374" t="str">
        <f>PAVIM.!M2</f>
        <v>ESTADO: SANTA CATARINA</v>
      </c>
    </row>
    <row r="3" spans="1:13" ht="12.75" customHeight="1">
      <c r="A3" s="876"/>
      <c r="B3" s="876"/>
      <c r="C3" s="876"/>
      <c r="D3" s="829" t="str">
        <f>PAVIM.!G3</f>
        <v>RUA JOSÉ MARQUES, RUA VEREADOR FLÁVIO ROCHA, RUA 156 e RUA CRICIÚMA</v>
      </c>
      <c r="E3" s="829"/>
      <c r="F3" s="829"/>
      <c r="G3" s="829"/>
      <c r="H3" s="829"/>
      <c r="I3" s="829"/>
      <c r="J3" s="829"/>
      <c r="K3" s="829"/>
      <c r="L3" s="829"/>
      <c r="M3" s="374" t="str">
        <f ca="1">PAVIM.!M3</f>
        <v>DATA: 15/10/24</v>
      </c>
    </row>
    <row r="4" spans="1:13" ht="12.75" customHeight="1">
      <c r="A4" s="401"/>
      <c r="B4" s="350"/>
      <c r="C4" s="350"/>
      <c r="D4" s="350"/>
      <c r="E4" s="350"/>
      <c r="F4" s="350"/>
      <c r="G4" s="350"/>
      <c r="H4" s="350"/>
      <c r="I4" s="350"/>
      <c r="J4" s="351"/>
      <c r="K4" s="351"/>
      <c r="L4" s="351"/>
      <c r="M4" s="402"/>
    </row>
    <row r="5" spans="1:13">
      <c r="A5" s="875" t="s">
        <v>129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875"/>
    </row>
    <row r="6" spans="1:13" ht="13.5" customHeight="1">
      <c r="A6" s="875" t="s">
        <v>139</v>
      </c>
      <c r="B6" s="875"/>
      <c r="C6" s="875"/>
      <c r="D6" s="875" t="s">
        <v>56</v>
      </c>
      <c r="E6" s="875"/>
      <c r="F6" s="875"/>
      <c r="G6" s="363" t="s">
        <v>427</v>
      </c>
      <c r="H6" s="364" t="s">
        <v>4</v>
      </c>
      <c r="I6" s="364" t="s">
        <v>58</v>
      </c>
      <c r="J6" s="364" t="s">
        <v>54</v>
      </c>
      <c r="K6" s="364" t="s">
        <v>133</v>
      </c>
      <c r="L6" s="364" t="s">
        <v>131</v>
      </c>
      <c r="M6" s="364" t="s">
        <v>130</v>
      </c>
    </row>
    <row r="7" spans="1:13" s="353" customFormat="1">
      <c r="A7" s="311">
        <f>PAVIM.!A43</f>
        <v>0</v>
      </c>
      <c r="B7" s="311" t="str">
        <f>PAVIM.!B7</f>
        <v>+</v>
      </c>
      <c r="C7" s="312">
        <f>PAVIM.!C7</f>
        <v>0</v>
      </c>
      <c r="D7" s="311">
        <v>7</v>
      </c>
      <c r="E7" s="311" t="str">
        <f>PAVIM.!E7</f>
        <v>+</v>
      </c>
      <c r="F7" s="312">
        <f>PAVIM.!F7</f>
        <v>17</v>
      </c>
      <c r="G7" s="362" t="str">
        <f>PAVIM.!G7</f>
        <v>RUA JOSÉ MARQUES</v>
      </c>
      <c r="H7" s="311">
        <v>1</v>
      </c>
      <c r="I7" s="352">
        <f t="shared" ref="I7:I16" si="0">D7*20+F7</f>
        <v>157</v>
      </c>
      <c r="J7" s="312">
        <v>0.1</v>
      </c>
      <c r="K7" s="311">
        <v>1</v>
      </c>
      <c r="L7" s="313" t="s">
        <v>446</v>
      </c>
      <c r="M7" s="400">
        <f t="shared" ref="M7:M22" si="1">TRUNC(H7*I7*J7*K7,2)</f>
        <v>15.7</v>
      </c>
    </row>
    <row r="8" spans="1:13" s="353" customFormat="1">
      <c r="A8" s="311">
        <f>A7</f>
        <v>0</v>
      </c>
      <c r="B8" s="311" t="str">
        <f t="shared" ref="B8:F8" si="2">B7</f>
        <v>+</v>
      </c>
      <c r="C8" s="312">
        <f t="shared" si="2"/>
        <v>0</v>
      </c>
      <c r="D8" s="311">
        <f t="shared" si="2"/>
        <v>7</v>
      </c>
      <c r="E8" s="311" t="str">
        <f t="shared" si="2"/>
        <v>+</v>
      </c>
      <c r="F8" s="312">
        <f t="shared" si="2"/>
        <v>17</v>
      </c>
      <c r="G8" s="362" t="str">
        <f>G7</f>
        <v>RUA JOSÉ MARQUES</v>
      </c>
      <c r="H8" s="311">
        <v>2</v>
      </c>
      <c r="I8" s="352">
        <f t="shared" si="0"/>
        <v>157</v>
      </c>
      <c r="J8" s="312">
        <v>0.1</v>
      </c>
      <c r="K8" s="311">
        <v>1</v>
      </c>
      <c r="L8" s="313" t="s">
        <v>627</v>
      </c>
      <c r="M8" s="400">
        <f t="shared" si="1"/>
        <v>31.4</v>
      </c>
    </row>
    <row r="9" spans="1:13" s="353" customFormat="1">
      <c r="A9" s="311">
        <f>PAVIM.!A44</f>
        <v>0</v>
      </c>
      <c r="B9" s="311" t="str">
        <f>PAVIM.!B8</f>
        <v>+</v>
      </c>
      <c r="C9" s="312">
        <f>PAVIM.!C8</f>
        <v>0</v>
      </c>
      <c r="D9" s="311">
        <f>PAVIM.!D8</f>
        <v>8</v>
      </c>
      <c r="E9" s="311" t="str">
        <f>PAVIM.!E8</f>
        <v>+</v>
      </c>
      <c r="F9" s="312">
        <f>PAVIM.!F8</f>
        <v>0</v>
      </c>
      <c r="G9" s="634" t="str">
        <f>PAVIM.!G8</f>
        <v>RUA VEREADOR FLÁVIO ROCHA</v>
      </c>
      <c r="H9" s="311">
        <v>1</v>
      </c>
      <c r="I9" s="352">
        <f t="shared" si="0"/>
        <v>160</v>
      </c>
      <c r="J9" s="312">
        <v>0.1</v>
      </c>
      <c r="K9" s="311">
        <v>1</v>
      </c>
      <c r="L9" s="313" t="s">
        <v>446</v>
      </c>
      <c r="M9" s="400">
        <f t="shared" si="1"/>
        <v>16</v>
      </c>
    </row>
    <row r="10" spans="1:13" s="353" customFormat="1">
      <c r="A10" s="311">
        <f>A9</f>
        <v>0</v>
      </c>
      <c r="B10" s="311" t="str">
        <f t="shared" ref="B10:F10" si="3">B9</f>
        <v>+</v>
      </c>
      <c r="C10" s="312">
        <f t="shared" si="3"/>
        <v>0</v>
      </c>
      <c r="D10" s="311">
        <f t="shared" si="3"/>
        <v>8</v>
      </c>
      <c r="E10" s="311" t="str">
        <f t="shared" si="3"/>
        <v>+</v>
      </c>
      <c r="F10" s="312">
        <f t="shared" si="3"/>
        <v>0</v>
      </c>
      <c r="G10" s="634" t="str">
        <f>G9</f>
        <v>RUA VEREADOR FLÁVIO ROCHA</v>
      </c>
      <c r="H10" s="311">
        <v>2</v>
      </c>
      <c r="I10" s="352">
        <f t="shared" si="0"/>
        <v>160</v>
      </c>
      <c r="J10" s="312">
        <v>0.1</v>
      </c>
      <c r="K10" s="311">
        <v>1</v>
      </c>
      <c r="L10" s="313" t="s">
        <v>627</v>
      </c>
      <c r="M10" s="400">
        <f t="shared" si="1"/>
        <v>32</v>
      </c>
    </row>
    <row r="11" spans="1:13" s="353" customFormat="1">
      <c r="A11" s="311">
        <f>PAVIM.!A45</f>
        <v>8</v>
      </c>
      <c r="B11" s="311" t="str">
        <f>PAVIM.!B45</f>
        <v>+</v>
      </c>
      <c r="C11" s="312">
        <f>PAVIM.!C45</f>
        <v>0</v>
      </c>
      <c r="D11" s="311">
        <f>PAVIM.!D45</f>
        <v>16</v>
      </c>
      <c r="E11" s="311" t="str">
        <f>PAVIM.!E45</f>
        <v>+</v>
      </c>
      <c r="F11" s="312">
        <f>PAVIM.!F45</f>
        <v>13</v>
      </c>
      <c r="G11" s="669" t="str">
        <f>PAVIM.!G45</f>
        <v>RUA VEREADOR FLÁVIO ROCHA</v>
      </c>
      <c r="H11" s="311">
        <v>1</v>
      </c>
      <c r="I11" s="352">
        <f t="shared" si="0"/>
        <v>333</v>
      </c>
      <c r="J11" s="312">
        <v>0.1</v>
      </c>
      <c r="K11" s="311">
        <v>1</v>
      </c>
      <c r="L11" s="313" t="s">
        <v>446</v>
      </c>
      <c r="M11" s="400">
        <f t="shared" ref="M11:M12" si="4">TRUNC(H11*I11*J11*K11,2)</f>
        <v>33.299999999999997</v>
      </c>
    </row>
    <row r="12" spans="1:13" s="353" customFormat="1">
      <c r="A12" s="311">
        <f>A11</f>
        <v>8</v>
      </c>
      <c r="B12" s="311" t="str">
        <f t="shared" ref="B12:F12" si="5">B11</f>
        <v>+</v>
      </c>
      <c r="C12" s="312">
        <f t="shared" si="5"/>
        <v>0</v>
      </c>
      <c r="D12" s="311">
        <f t="shared" si="5"/>
        <v>16</v>
      </c>
      <c r="E12" s="311" t="str">
        <f t="shared" si="5"/>
        <v>+</v>
      </c>
      <c r="F12" s="312">
        <f t="shared" si="5"/>
        <v>13</v>
      </c>
      <c r="G12" s="669" t="str">
        <f>G11</f>
        <v>RUA VEREADOR FLÁVIO ROCHA</v>
      </c>
      <c r="H12" s="311">
        <v>2</v>
      </c>
      <c r="I12" s="352">
        <f t="shared" si="0"/>
        <v>333</v>
      </c>
      <c r="J12" s="312">
        <v>0.1</v>
      </c>
      <c r="K12" s="311">
        <v>1</v>
      </c>
      <c r="L12" s="313" t="s">
        <v>627</v>
      </c>
      <c r="M12" s="400">
        <f t="shared" si="4"/>
        <v>66.599999999999994</v>
      </c>
    </row>
    <row r="13" spans="1:13" s="353" customFormat="1">
      <c r="A13" s="311">
        <f>PAVIM.!A46</f>
        <v>0</v>
      </c>
      <c r="B13" s="311" t="str">
        <f>PAVIM.!B46</f>
        <v>+</v>
      </c>
      <c r="C13" s="312">
        <f>PAVIM.!C46</f>
        <v>0</v>
      </c>
      <c r="D13" s="311">
        <f>PAVIM.!D46</f>
        <v>6</v>
      </c>
      <c r="E13" s="311" t="str">
        <f>PAVIM.!E46</f>
        <v>+</v>
      </c>
      <c r="F13" s="312">
        <f>PAVIM.!F46</f>
        <v>10</v>
      </c>
      <c r="G13" s="669" t="str">
        <f>PAVIM.!G46</f>
        <v>RUA 156</v>
      </c>
      <c r="H13" s="311">
        <v>1</v>
      </c>
      <c r="I13" s="352">
        <f t="shared" si="0"/>
        <v>130</v>
      </c>
      <c r="J13" s="312">
        <v>0.1</v>
      </c>
      <c r="K13" s="311">
        <v>1</v>
      </c>
      <c r="L13" s="313" t="s">
        <v>446</v>
      </c>
      <c r="M13" s="400">
        <f t="shared" ref="M13:M14" si="6">TRUNC(H13*I13*J13*K13,2)</f>
        <v>13</v>
      </c>
    </row>
    <row r="14" spans="1:13" s="353" customFormat="1">
      <c r="A14" s="311">
        <f>A13</f>
        <v>0</v>
      </c>
      <c r="B14" s="311" t="str">
        <f t="shared" ref="B14:F16" si="7">B13</f>
        <v>+</v>
      </c>
      <c r="C14" s="312">
        <f t="shared" si="7"/>
        <v>0</v>
      </c>
      <c r="D14" s="311">
        <f t="shared" si="7"/>
        <v>6</v>
      </c>
      <c r="E14" s="311" t="str">
        <f t="shared" si="7"/>
        <v>+</v>
      </c>
      <c r="F14" s="312">
        <f t="shared" si="7"/>
        <v>10</v>
      </c>
      <c r="G14" s="669" t="str">
        <f>G13</f>
        <v>RUA 156</v>
      </c>
      <c r="H14" s="311">
        <v>2</v>
      </c>
      <c r="I14" s="352">
        <f t="shared" si="0"/>
        <v>130</v>
      </c>
      <c r="J14" s="312">
        <v>0.1</v>
      </c>
      <c r="K14" s="311">
        <v>1</v>
      </c>
      <c r="L14" s="313" t="s">
        <v>627</v>
      </c>
      <c r="M14" s="400">
        <f t="shared" si="6"/>
        <v>26</v>
      </c>
    </row>
    <row r="15" spans="1:13" s="353" customFormat="1">
      <c r="A15" s="311">
        <f>PAVIM.!A47</f>
        <v>0</v>
      </c>
      <c r="B15" s="311" t="str">
        <f>PAVIM.!B47</f>
        <v>+</v>
      </c>
      <c r="C15" s="312">
        <f>PAVIM.!C47</f>
        <v>0</v>
      </c>
      <c r="D15" s="311">
        <f>PAVIM.!D47</f>
        <v>4</v>
      </c>
      <c r="E15" s="311" t="str">
        <f>PAVIM.!E47</f>
        <v>+</v>
      </c>
      <c r="F15" s="312">
        <f>PAVIM.!F47</f>
        <v>10</v>
      </c>
      <c r="G15" s="669" t="str">
        <f>PAVIM.!G47</f>
        <v>RUA CRICIÚMA</v>
      </c>
      <c r="H15" s="311">
        <v>1</v>
      </c>
      <c r="I15" s="352">
        <f t="shared" si="0"/>
        <v>90</v>
      </c>
      <c r="J15" s="312">
        <v>0.1</v>
      </c>
      <c r="K15" s="311">
        <v>1</v>
      </c>
      <c r="L15" s="313" t="s">
        <v>446</v>
      </c>
      <c r="M15" s="400">
        <f t="shared" ref="M15:M16" si="8">TRUNC(H15*I15*J15*K15,2)</f>
        <v>9</v>
      </c>
    </row>
    <row r="16" spans="1:13" s="353" customFormat="1">
      <c r="A16" s="311">
        <f>A15</f>
        <v>0</v>
      </c>
      <c r="B16" s="311" t="str">
        <f t="shared" si="7"/>
        <v>+</v>
      </c>
      <c r="C16" s="312">
        <f t="shared" si="7"/>
        <v>0</v>
      </c>
      <c r="D16" s="311">
        <f t="shared" si="7"/>
        <v>4</v>
      </c>
      <c r="E16" s="311" t="str">
        <f t="shared" si="7"/>
        <v>+</v>
      </c>
      <c r="F16" s="312">
        <f t="shared" si="7"/>
        <v>10</v>
      </c>
      <c r="G16" s="669" t="str">
        <f>G15</f>
        <v>RUA CRICIÚMA</v>
      </c>
      <c r="H16" s="311">
        <v>2</v>
      </c>
      <c r="I16" s="352">
        <f t="shared" si="0"/>
        <v>90</v>
      </c>
      <c r="J16" s="312">
        <v>0.1</v>
      </c>
      <c r="K16" s="311">
        <v>1</v>
      </c>
      <c r="L16" s="313" t="s">
        <v>627</v>
      </c>
      <c r="M16" s="400">
        <f t="shared" si="8"/>
        <v>18</v>
      </c>
    </row>
    <row r="17" spans="1:15" s="36" customFormat="1" ht="13.5" customHeight="1">
      <c r="A17" s="833" t="s">
        <v>22</v>
      </c>
      <c r="B17" s="833"/>
      <c r="C17" s="833"/>
      <c r="D17" s="833"/>
      <c r="E17" s="833"/>
      <c r="F17" s="833"/>
      <c r="G17" s="833"/>
      <c r="H17" s="833"/>
      <c r="I17" s="833"/>
      <c r="J17" s="833"/>
      <c r="K17" s="833"/>
      <c r="L17" s="833"/>
      <c r="M17" s="299">
        <f>SUM(M7:M16)</f>
        <v>261</v>
      </c>
      <c r="O17" s="354"/>
    </row>
    <row r="18" spans="1:15" s="353" customFormat="1">
      <c r="A18" s="401"/>
      <c r="B18" s="350"/>
      <c r="C18" s="350"/>
      <c r="D18" s="350"/>
      <c r="E18" s="350"/>
      <c r="F18" s="350"/>
      <c r="G18" s="350"/>
      <c r="H18" s="350"/>
      <c r="I18" s="350"/>
      <c r="J18" s="351"/>
      <c r="K18" s="351"/>
      <c r="L18" s="351"/>
      <c r="M18" s="402"/>
    </row>
    <row r="19" spans="1:15">
      <c r="A19" s="875" t="s">
        <v>702</v>
      </c>
      <c r="B19" s="875"/>
      <c r="C19" s="875"/>
      <c r="D19" s="875"/>
      <c r="E19" s="875"/>
      <c r="F19" s="875"/>
      <c r="G19" s="875"/>
      <c r="H19" s="875"/>
      <c r="I19" s="875"/>
      <c r="J19" s="875"/>
      <c r="K19" s="875"/>
      <c r="L19" s="875"/>
      <c r="M19" s="875"/>
    </row>
    <row r="20" spans="1:15" ht="13.5" customHeight="1">
      <c r="A20" s="875" t="s">
        <v>139</v>
      </c>
      <c r="B20" s="875"/>
      <c r="C20" s="875"/>
      <c r="D20" s="875" t="s">
        <v>56</v>
      </c>
      <c r="E20" s="875"/>
      <c r="F20" s="875"/>
      <c r="G20" s="645" t="s">
        <v>427</v>
      </c>
      <c r="H20" s="646" t="s">
        <v>4</v>
      </c>
      <c r="I20" s="646" t="s">
        <v>58</v>
      </c>
      <c r="J20" s="646" t="s">
        <v>54</v>
      </c>
      <c r="K20" s="646" t="s">
        <v>133</v>
      </c>
      <c r="L20" s="646" t="s">
        <v>131</v>
      </c>
      <c r="M20" s="646" t="s">
        <v>130</v>
      </c>
    </row>
    <row r="21" spans="1:15" s="353" customFormat="1">
      <c r="A21" s="311">
        <f>A7</f>
        <v>0</v>
      </c>
      <c r="B21" s="311" t="str">
        <f t="shared" ref="B21:G21" si="9">B7</f>
        <v>+</v>
      </c>
      <c r="C21" s="312">
        <f t="shared" si="9"/>
        <v>0</v>
      </c>
      <c r="D21" s="311">
        <f t="shared" si="9"/>
        <v>7</v>
      </c>
      <c r="E21" s="311" t="str">
        <f t="shared" si="9"/>
        <v>+</v>
      </c>
      <c r="F21" s="312">
        <f t="shared" si="9"/>
        <v>17</v>
      </c>
      <c r="G21" s="561" t="str">
        <f t="shared" si="9"/>
        <v>RUA JOSÉ MARQUES</v>
      </c>
      <c r="H21" s="311">
        <v>1</v>
      </c>
      <c r="I21" s="352">
        <v>3</v>
      </c>
      <c r="J21" s="312">
        <v>0.3</v>
      </c>
      <c r="K21" s="311">
        <v>9</v>
      </c>
      <c r="L21" s="313" t="s">
        <v>692</v>
      </c>
      <c r="M21" s="400">
        <f t="shared" si="1"/>
        <v>8.1</v>
      </c>
    </row>
    <row r="22" spans="1:15" s="353" customFormat="1">
      <c r="A22" s="311">
        <f t="shared" ref="A22:G22" si="10">A21</f>
        <v>0</v>
      </c>
      <c r="B22" s="311" t="str">
        <f t="shared" si="10"/>
        <v>+</v>
      </c>
      <c r="C22" s="312">
        <f t="shared" si="10"/>
        <v>0</v>
      </c>
      <c r="D22" s="311">
        <f t="shared" si="10"/>
        <v>7</v>
      </c>
      <c r="E22" s="311" t="str">
        <f t="shared" si="10"/>
        <v>+</v>
      </c>
      <c r="F22" s="312">
        <f t="shared" si="10"/>
        <v>17</v>
      </c>
      <c r="G22" s="634" t="str">
        <f t="shared" si="10"/>
        <v>RUA JOSÉ MARQUES</v>
      </c>
      <c r="H22" s="311">
        <v>1</v>
      </c>
      <c r="I22" s="352">
        <v>4</v>
      </c>
      <c r="J22" s="312">
        <v>0.3</v>
      </c>
      <c r="K22" s="311">
        <v>2</v>
      </c>
      <c r="L22" s="313" t="s">
        <v>693</v>
      </c>
      <c r="M22" s="400">
        <f t="shared" si="1"/>
        <v>2.4</v>
      </c>
    </row>
    <row r="23" spans="1:15" s="353" customFormat="1">
      <c r="A23" s="311">
        <f>A9</f>
        <v>0</v>
      </c>
      <c r="B23" s="311" t="str">
        <f t="shared" ref="B23:G23" si="11">B9</f>
        <v>+</v>
      </c>
      <c r="C23" s="312">
        <f t="shared" si="11"/>
        <v>0</v>
      </c>
      <c r="D23" s="311">
        <f t="shared" si="11"/>
        <v>8</v>
      </c>
      <c r="E23" s="311" t="str">
        <f t="shared" si="11"/>
        <v>+</v>
      </c>
      <c r="F23" s="312">
        <f t="shared" si="11"/>
        <v>0</v>
      </c>
      <c r="G23" s="669" t="str">
        <f t="shared" si="11"/>
        <v>RUA VEREADOR FLÁVIO ROCHA</v>
      </c>
      <c r="H23" s="311">
        <v>5</v>
      </c>
      <c r="I23" s="352">
        <v>3</v>
      </c>
      <c r="J23" s="312">
        <v>0.3</v>
      </c>
      <c r="K23" s="311">
        <v>9</v>
      </c>
      <c r="L23" s="313" t="s">
        <v>692</v>
      </c>
      <c r="M23" s="400">
        <f t="shared" ref="M23:M26" si="12">TRUNC(H23*I23*J23*K23,2)</f>
        <v>40.5</v>
      </c>
    </row>
    <row r="24" spans="1:15" s="353" customFormat="1">
      <c r="A24" s="311">
        <f t="shared" ref="A24:G24" si="13">A23</f>
        <v>0</v>
      </c>
      <c r="B24" s="311" t="str">
        <f t="shared" si="13"/>
        <v>+</v>
      </c>
      <c r="C24" s="312">
        <f t="shared" si="13"/>
        <v>0</v>
      </c>
      <c r="D24" s="311">
        <f t="shared" si="13"/>
        <v>8</v>
      </c>
      <c r="E24" s="311" t="str">
        <f t="shared" si="13"/>
        <v>+</v>
      </c>
      <c r="F24" s="312">
        <f t="shared" si="13"/>
        <v>0</v>
      </c>
      <c r="G24" s="669" t="str">
        <f t="shared" si="13"/>
        <v>RUA VEREADOR FLÁVIO ROCHA</v>
      </c>
      <c r="H24" s="311">
        <v>5</v>
      </c>
      <c r="I24" s="352">
        <v>3.5</v>
      </c>
      <c r="J24" s="312">
        <v>0.3</v>
      </c>
      <c r="K24" s="311">
        <v>2</v>
      </c>
      <c r="L24" s="313" t="s">
        <v>693</v>
      </c>
      <c r="M24" s="400">
        <f t="shared" si="12"/>
        <v>10.5</v>
      </c>
    </row>
    <row r="25" spans="1:15" s="353" customFormat="1">
      <c r="A25" s="311">
        <f>A11</f>
        <v>8</v>
      </c>
      <c r="B25" s="311" t="str">
        <f t="shared" ref="B25:G25" si="14">B11</f>
        <v>+</v>
      </c>
      <c r="C25" s="312">
        <f t="shared" si="14"/>
        <v>0</v>
      </c>
      <c r="D25" s="311">
        <f t="shared" si="14"/>
        <v>16</v>
      </c>
      <c r="E25" s="311" t="str">
        <f t="shared" si="14"/>
        <v>+</v>
      </c>
      <c r="F25" s="312">
        <f t="shared" si="14"/>
        <v>13</v>
      </c>
      <c r="G25" s="669" t="str">
        <f t="shared" si="14"/>
        <v>RUA VEREADOR FLÁVIO ROCHA</v>
      </c>
      <c r="H25" s="311">
        <v>5</v>
      </c>
      <c r="I25" s="352">
        <v>3</v>
      </c>
      <c r="J25" s="312">
        <v>0.3</v>
      </c>
      <c r="K25" s="311">
        <v>9</v>
      </c>
      <c r="L25" s="313" t="s">
        <v>692</v>
      </c>
      <c r="M25" s="400">
        <f t="shared" si="12"/>
        <v>40.5</v>
      </c>
    </row>
    <row r="26" spans="1:15" s="353" customFormat="1">
      <c r="A26" s="311">
        <f t="shared" ref="A26:G26" si="15">A25</f>
        <v>8</v>
      </c>
      <c r="B26" s="311" t="str">
        <f t="shared" si="15"/>
        <v>+</v>
      </c>
      <c r="C26" s="312">
        <f t="shared" si="15"/>
        <v>0</v>
      </c>
      <c r="D26" s="311">
        <f t="shared" si="15"/>
        <v>16</v>
      </c>
      <c r="E26" s="311" t="str">
        <f t="shared" si="15"/>
        <v>+</v>
      </c>
      <c r="F26" s="312">
        <f t="shared" si="15"/>
        <v>13</v>
      </c>
      <c r="G26" s="669" t="str">
        <f t="shared" si="15"/>
        <v>RUA VEREADOR FLÁVIO ROCHA</v>
      </c>
      <c r="H26" s="311">
        <v>5</v>
      </c>
      <c r="I26" s="352">
        <v>3.5</v>
      </c>
      <c r="J26" s="312">
        <v>0.3</v>
      </c>
      <c r="K26" s="311">
        <v>2</v>
      </c>
      <c r="L26" s="313" t="s">
        <v>693</v>
      </c>
      <c r="M26" s="400">
        <f t="shared" si="12"/>
        <v>10.5</v>
      </c>
    </row>
    <row r="27" spans="1:15" s="353" customFormat="1">
      <c r="A27" s="311">
        <f>A13</f>
        <v>0</v>
      </c>
      <c r="B27" s="311" t="str">
        <f t="shared" ref="B27:G27" si="16">B13</f>
        <v>+</v>
      </c>
      <c r="C27" s="312">
        <f t="shared" si="16"/>
        <v>0</v>
      </c>
      <c r="D27" s="311">
        <f t="shared" si="16"/>
        <v>6</v>
      </c>
      <c r="E27" s="311" t="str">
        <f t="shared" si="16"/>
        <v>+</v>
      </c>
      <c r="F27" s="312">
        <f t="shared" si="16"/>
        <v>10</v>
      </c>
      <c r="G27" s="669" t="str">
        <f t="shared" si="16"/>
        <v>RUA 156</v>
      </c>
      <c r="H27" s="311">
        <v>2</v>
      </c>
      <c r="I27" s="352">
        <v>3</v>
      </c>
      <c r="J27" s="312">
        <v>0.3</v>
      </c>
      <c r="K27" s="311">
        <v>9</v>
      </c>
      <c r="L27" s="313" t="s">
        <v>692</v>
      </c>
      <c r="M27" s="400">
        <f t="shared" ref="M27:M28" si="17">TRUNC(H27*I27*J27*K27,2)</f>
        <v>16.2</v>
      </c>
    </row>
    <row r="28" spans="1:15" s="353" customFormat="1">
      <c r="A28" s="311">
        <f t="shared" ref="A28:G28" si="18">A27</f>
        <v>0</v>
      </c>
      <c r="B28" s="311" t="str">
        <f t="shared" si="18"/>
        <v>+</v>
      </c>
      <c r="C28" s="312">
        <f t="shared" si="18"/>
        <v>0</v>
      </c>
      <c r="D28" s="311">
        <f t="shared" si="18"/>
        <v>6</v>
      </c>
      <c r="E28" s="311" t="str">
        <f t="shared" si="18"/>
        <v>+</v>
      </c>
      <c r="F28" s="312">
        <f t="shared" si="18"/>
        <v>10</v>
      </c>
      <c r="G28" s="669" t="str">
        <f t="shared" si="18"/>
        <v>RUA 156</v>
      </c>
      <c r="H28" s="311">
        <v>2</v>
      </c>
      <c r="I28" s="352">
        <v>4</v>
      </c>
      <c r="J28" s="312">
        <v>0.3</v>
      </c>
      <c r="K28" s="311">
        <v>2</v>
      </c>
      <c r="L28" s="313" t="s">
        <v>693</v>
      </c>
      <c r="M28" s="400">
        <f t="shared" si="17"/>
        <v>4.8</v>
      </c>
    </row>
    <row r="29" spans="1:15" s="353" customFormat="1">
      <c r="A29" s="311">
        <f>A15</f>
        <v>0</v>
      </c>
      <c r="B29" s="311" t="str">
        <f t="shared" ref="B29:G29" si="19">B15</f>
        <v>+</v>
      </c>
      <c r="C29" s="312">
        <f t="shared" si="19"/>
        <v>0</v>
      </c>
      <c r="D29" s="311">
        <f t="shared" si="19"/>
        <v>4</v>
      </c>
      <c r="E29" s="311" t="str">
        <f t="shared" si="19"/>
        <v>+</v>
      </c>
      <c r="F29" s="312">
        <f t="shared" si="19"/>
        <v>10</v>
      </c>
      <c r="G29" s="669" t="str">
        <f t="shared" si="19"/>
        <v>RUA CRICIÚMA</v>
      </c>
      <c r="H29" s="311">
        <v>1</v>
      </c>
      <c r="I29" s="352">
        <v>3</v>
      </c>
      <c r="J29" s="312">
        <v>0.3</v>
      </c>
      <c r="K29" s="311">
        <v>9</v>
      </c>
      <c r="L29" s="313" t="s">
        <v>692</v>
      </c>
      <c r="M29" s="400">
        <f t="shared" ref="M29:M30" si="20">TRUNC(H29*I29*J29*K29,2)</f>
        <v>8.1</v>
      </c>
    </row>
    <row r="30" spans="1:15" s="353" customFormat="1">
      <c r="A30" s="311">
        <f t="shared" ref="A30:G30" si="21">A29</f>
        <v>0</v>
      </c>
      <c r="B30" s="311" t="str">
        <f t="shared" si="21"/>
        <v>+</v>
      </c>
      <c r="C30" s="312">
        <f t="shared" si="21"/>
        <v>0</v>
      </c>
      <c r="D30" s="311">
        <f t="shared" si="21"/>
        <v>4</v>
      </c>
      <c r="E30" s="311" t="str">
        <f t="shared" si="21"/>
        <v>+</v>
      </c>
      <c r="F30" s="312">
        <f t="shared" si="21"/>
        <v>10</v>
      </c>
      <c r="G30" s="669" t="str">
        <f t="shared" si="21"/>
        <v>RUA CRICIÚMA</v>
      </c>
      <c r="H30" s="311">
        <v>1</v>
      </c>
      <c r="I30" s="352">
        <v>4</v>
      </c>
      <c r="J30" s="312">
        <v>0.3</v>
      </c>
      <c r="K30" s="311">
        <v>2</v>
      </c>
      <c r="L30" s="313" t="s">
        <v>693</v>
      </c>
      <c r="M30" s="400">
        <f t="shared" si="20"/>
        <v>2.4</v>
      </c>
    </row>
    <row r="31" spans="1:15" s="36" customFormat="1" ht="13.5" customHeight="1">
      <c r="A31" s="833" t="s">
        <v>22</v>
      </c>
      <c r="B31" s="833"/>
      <c r="C31" s="833"/>
      <c r="D31" s="833"/>
      <c r="E31" s="833"/>
      <c r="F31" s="833"/>
      <c r="G31" s="833"/>
      <c r="H31" s="833"/>
      <c r="I31" s="833"/>
      <c r="J31" s="833"/>
      <c r="K31" s="833"/>
      <c r="L31" s="833"/>
      <c r="M31" s="299">
        <f>SUM(M21:M28)</f>
        <v>133.5</v>
      </c>
      <c r="O31" s="354"/>
    </row>
    <row r="32" spans="1:15" s="353" customFormat="1">
      <c r="A32" s="401"/>
      <c r="B32" s="350"/>
      <c r="C32" s="350"/>
      <c r="D32" s="350"/>
      <c r="E32" s="350"/>
      <c r="F32" s="350"/>
      <c r="G32" s="350"/>
      <c r="H32" s="350"/>
      <c r="I32" s="350"/>
      <c r="J32" s="351"/>
      <c r="K32" s="351"/>
      <c r="L32" s="351"/>
      <c r="M32" s="402"/>
    </row>
    <row r="33" spans="1:15" s="353" customFormat="1">
      <c r="A33" s="875" t="s">
        <v>138</v>
      </c>
      <c r="B33" s="875"/>
      <c r="C33" s="875"/>
      <c r="D33" s="875"/>
      <c r="E33" s="875"/>
      <c r="F33" s="875"/>
      <c r="G33" s="875"/>
      <c r="H33" s="875"/>
      <c r="I33" s="875"/>
      <c r="J33" s="875"/>
      <c r="K33" s="875"/>
      <c r="L33" s="875"/>
      <c r="M33" s="875"/>
    </row>
    <row r="34" spans="1:15" s="353" customFormat="1">
      <c r="A34" s="875" t="s">
        <v>139</v>
      </c>
      <c r="B34" s="875"/>
      <c r="C34" s="875"/>
      <c r="D34" s="875" t="s">
        <v>56</v>
      </c>
      <c r="E34" s="875"/>
      <c r="F34" s="875"/>
      <c r="G34" s="363" t="s">
        <v>427</v>
      </c>
      <c r="H34" s="364" t="s">
        <v>4</v>
      </c>
      <c r="I34" s="364" t="s">
        <v>58</v>
      </c>
      <c r="J34" s="364" t="s">
        <v>54</v>
      </c>
      <c r="K34" s="364" t="s">
        <v>120</v>
      </c>
      <c r="L34" s="364" t="s">
        <v>131</v>
      </c>
      <c r="M34" s="364" t="s">
        <v>132</v>
      </c>
    </row>
    <row r="35" spans="1:15" s="353" customFormat="1">
      <c r="A35" s="311">
        <f>A23</f>
        <v>0</v>
      </c>
      <c r="B35" s="311" t="str">
        <f t="shared" ref="B35:G35" si="22">B23</f>
        <v>+</v>
      </c>
      <c r="C35" s="312">
        <f t="shared" si="22"/>
        <v>0</v>
      </c>
      <c r="D35" s="311">
        <f t="shared" si="22"/>
        <v>8</v>
      </c>
      <c r="E35" s="311" t="str">
        <f t="shared" si="22"/>
        <v>+</v>
      </c>
      <c r="F35" s="312">
        <f t="shared" si="22"/>
        <v>0</v>
      </c>
      <c r="G35" s="362" t="str">
        <f t="shared" si="22"/>
        <v>RUA VEREADOR FLÁVIO ROCHA</v>
      </c>
      <c r="H35" s="314">
        <v>4</v>
      </c>
      <c r="I35" s="312">
        <v>0.6</v>
      </c>
      <c r="J35" s="312">
        <v>0.6</v>
      </c>
      <c r="K35" s="362" t="s">
        <v>59</v>
      </c>
      <c r="L35" s="313" t="s">
        <v>694</v>
      </c>
      <c r="M35" s="399">
        <v>1</v>
      </c>
    </row>
    <row r="36" spans="1:15" s="353" customFormat="1">
      <c r="A36" s="311">
        <f>A27</f>
        <v>0</v>
      </c>
      <c r="B36" s="311" t="str">
        <f t="shared" ref="B36:G36" si="23">B27</f>
        <v>+</v>
      </c>
      <c r="C36" s="312">
        <f t="shared" si="23"/>
        <v>0</v>
      </c>
      <c r="D36" s="311">
        <f t="shared" si="23"/>
        <v>6</v>
      </c>
      <c r="E36" s="311" t="str">
        <f t="shared" si="23"/>
        <v>+</v>
      </c>
      <c r="F36" s="312">
        <f t="shared" si="23"/>
        <v>10</v>
      </c>
      <c r="G36" s="560" t="str">
        <f t="shared" si="23"/>
        <v>RUA 156</v>
      </c>
      <c r="H36" s="314">
        <v>2</v>
      </c>
      <c r="I36" s="312">
        <v>0.6</v>
      </c>
      <c r="J36" s="312">
        <v>0.6</v>
      </c>
      <c r="K36" s="560" t="s">
        <v>118</v>
      </c>
      <c r="L36" s="313" t="s">
        <v>694</v>
      </c>
      <c r="M36" s="399">
        <v>1</v>
      </c>
    </row>
    <row r="37" spans="1:15" s="36" customFormat="1" ht="13.5" customHeight="1">
      <c r="A37" s="833" t="s">
        <v>22</v>
      </c>
      <c r="B37" s="833"/>
      <c r="C37" s="833"/>
      <c r="D37" s="833"/>
      <c r="E37" s="833"/>
      <c r="F37" s="833"/>
      <c r="G37" s="833"/>
      <c r="H37" s="833"/>
      <c r="I37" s="833"/>
      <c r="J37" s="833"/>
      <c r="K37" s="833"/>
      <c r="L37" s="833"/>
      <c r="M37" s="494">
        <f>SUM(M35:M36)</f>
        <v>2</v>
      </c>
      <c r="O37" s="354"/>
    </row>
    <row r="38" spans="1:15" s="353" customFormat="1">
      <c r="A38" s="401"/>
      <c r="B38" s="350"/>
      <c r="C38" s="350"/>
      <c r="D38" s="350"/>
      <c r="E38" s="350"/>
      <c r="F38" s="350"/>
      <c r="G38" s="350"/>
      <c r="H38" s="350"/>
      <c r="I38" s="350"/>
      <c r="J38" s="351"/>
      <c r="K38" s="351"/>
      <c r="L38" s="351"/>
      <c r="M38" s="402"/>
    </row>
    <row r="39" spans="1:15" s="353" customFormat="1">
      <c r="A39" s="875" t="s">
        <v>199</v>
      </c>
      <c r="B39" s="875"/>
      <c r="C39" s="875"/>
      <c r="D39" s="875"/>
      <c r="E39" s="875"/>
      <c r="F39" s="875"/>
      <c r="G39" s="875"/>
      <c r="H39" s="875"/>
      <c r="I39" s="875"/>
      <c r="J39" s="875"/>
      <c r="K39" s="875"/>
      <c r="L39" s="875"/>
      <c r="M39" s="875"/>
    </row>
    <row r="40" spans="1:15" s="353" customFormat="1">
      <c r="A40" s="875" t="s">
        <v>139</v>
      </c>
      <c r="B40" s="875"/>
      <c r="C40" s="875"/>
      <c r="D40" s="875" t="s">
        <v>56</v>
      </c>
      <c r="E40" s="875"/>
      <c r="F40" s="875"/>
      <c r="G40" s="363" t="s">
        <v>427</v>
      </c>
      <c r="H40" s="364" t="s">
        <v>4</v>
      </c>
      <c r="I40" s="364" t="s">
        <v>58</v>
      </c>
      <c r="J40" s="364" t="s">
        <v>54</v>
      </c>
      <c r="K40" s="364" t="s">
        <v>120</v>
      </c>
      <c r="L40" s="364" t="s">
        <v>131</v>
      </c>
      <c r="M40" s="364" t="s">
        <v>132</v>
      </c>
    </row>
    <row r="41" spans="1:15" s="353" customFormat="1">
      <c r="A41" s="311">
        <f>A35</f>
        <v>0</v>
      </c>
      <c r="B41" s="311" t="str">
        <f t="shared" ref="B41:G41" si="24">B35</f>
        <v>+</v>
      </c>
      <c r="C41" s="312">
        <f t="shared" si="24"/>
        <v>0</v>
      </c>
      <c r="D41" s="311">
        <f t="shared" si="24"/>
        <v>8</v>
      </c>
      <c r="E41" s="311" t="str">
        <f t="shared" si="24"/>
        <v>+</v>
      </c>
      <c r="F41" s="312">
        <f t="shared" si="24"/>
        <v>0</v>
      </c>
      <c r="G41" s="362" t="str">
        <f t="shared" si="24"/>
        <v>RUA VEREADOR FLÁVIO ROCHA</v>
      </c>
      <c r="H41" s="311">
        <v>1</v>
      </c>
      <c r="I41" s="311">
        <v>2</v>
      </c>
      <c r="J41" s="311">
        <v>1</v>
      </c>
      <c r="K41" s="362" t="s">
        <v>119</v>
      </c>
      <c r="L41" s="313" t="s">
        <v>195</v>
      </c>
      <c r="M41" s="399">
        <v>1</v>
      </c>
    </row>
    <row r="42" spans="1:15" s="353" customFormat="1">
      <c r="A42" s="833" t="s">
        <v>22</v>
      </c>
      <c r="B42" s="833"/>
      <c r="C42" s="833"/>
      <c r="D42" s="833"/>
      <c r="E42" s="833"/>
      <c r="F42" s="833"/>
      <c r="G42" s="833"/>
      <c r="H42" s="833"/>
      <c r="I42" s="833"/>
      <c r="J42" s="833"/>
      <c r="K42" s="833"/>
      <c r="L42" s="833"/>
      <c r="M42" s="399">
        <f>SUM(M41:M41)</f>
        <v>1</v>
      </c>
    </row>
    <row r="43" spans="1:15">
      <c r="A43" s="398"/>
      <c r="B43" s="398"/>
      <c r="C43" s="398"/>
      <c r="D43" s="398"/>
      <c r="E43" s="398"/>
      <c r="F43" s="398"/>
      <c r="G43" s="398"/>
      <c r="H43" s="398"/>
      <c r="I43" s="398"/>
      <c r="J43" s="398"/>
      <c r="K43" s="398"/>
      <c r="L43" s="398"/>
      <c r="M43" s="398"/>
    </row>
    <row r="44" spans="1:15" s="353" customFormat="1">
      <c r="A44" s="875" t="s">
        <v>199</v>
      </c>
      <c r="B44" s="875"/>
      <c r="C44" s="875"/>
      <c r="D44" s="875"/>
      <c r="E44" s="875"/>
      <c r="F44" s="875"/>
      <c r="G44" s="875"/>
      <c r="H44" s="875"/>
      <c r="I44" s="875"/>
      <c r="J44" s="875"/>
      <c r="K44" s="875"/>
      <c r="L44" s="875"/>
      <c r="M44" s="875"/>
    </row>
    <row r="45" spans="1:15" s="353" customFormat="1">
      <c r="A45" s="875" t="s">
        <v>139</v>
      </c>
      <c r="B45" s="875"/>
      <c r="C45" s="875"/>
      <c r="D45" s="875" t="s">
        <v>56</v>
      </c>
      <c r="E45" s="875"/>
      <c r="F45" s="875"/>
      <c r="G45" s="594" t="s">
        <v>427</v>
      </c>
      <c r="H45" s="595" t="s">
        <v>4</v>
      </c>
      <c r="I45" s="595" t="s">
        <v>58</v>
      </c>
      <c r="J45" s="595" t="s">
        <v>675</v>
      </c>
      <c r="K45" s="595" t="s">
        <v>120</v>
      </c>
      <c r="L45" s="595" t="s">
        <v>131</v>
      </c>
      <c r="M45" s="595" t="s">
        <v>132</v>
      </c>
    </row>
    <row r="46" spans="1:15" s="353" customFormat="1">
      <c r="A46" s="311">
        <f>A35</f>
        <v>0</v>
      </c>
      <c r="B46" s="311" t="str">
        <f t="shared" ref="B46:H46" si="25">B35</f>
        <v>+</v>
      </c>
      <c r="C46" s="312">
        <f t="shared" si="25"/>
        <v>0</v>
      </c>
      <c r="D46" s="311">
        <f t="shared" si="25"/>
        <v>8</v>
      </c>
      <c r="E46" s="311" t="str">
        <f t="shared" si="25"/>
        <v>+</v>
      </c>
      <c r="F46" s="312">
        <f t="shared" si="25"/>
        <v>0</v>
      </c>
      <c r="G46" s="593" t="str">
        <f t="shared" si="25"/>
        <v>RUA VEREADOR FLÁVIO ROCHA</v>
      </c>
      <c r="H46" s="311">
        <f t="shared" si="25"/>
        <v>4</v>
      </c>
      <c r="I46" s="312">
        <v>0.45</v>
      </c>
      <c r="J46" s="312">
        <v>0.25</v>
      </c>
      <c r="K46" s="593" t="s">
        <v>119</v>
      </c>
      <c r="L46" s="313" t="s">
        <v>676</v>
      </c>
      <c r="M46" s="399">
        <f t="shared" ref="M46" si="26">H46</f>
        <v>4</v>
      </c>
    </row>
    <row r="47" spans="1:15" s="353" customFormat="1">
      <c r="A47" s="311">
        <f t="shared" ref="A47:H47" si="27">A36</f>
        <v>0</v>
      </c>
      <c r="B47" s="311" t="str">
        <f t="shared" si="27"/>
        <v>+</v>
      </c>
      <c r="C47" s="312">
        <f t="shared" si="27"/>
        <v>0</v>
      </c>
      <c r="D47" s="311">
        <f t="shared" si="27"/>
        <v>6</v>
      </c>
      <c r="E47" s="311" t="str">
        <f t="shared" si="27"/>
        <v>+</v>
      </c>
      <c r="F47" s="312">
        <f t="shared" si="27"/>
        <v>10</v>
      </c>
      <c r="G47" s="634" t="str">
        <f t="shared" si="27"/>
        <v>RUA 156</v>
      </c>
      <c r="H47" s="311">
        <f t="shared" si="27"/>
        <v>2</v>
      </c>
      <c r="I47" s="312">
        <v>0.45</v>
      </c>
      <c r="J47" s="312">
        <v>0.25</v>
      </c>
      <c r="K47" s="634" t="s">
        <v>118</v>
      </c>
      <c r="L47" s="313" t="s">
        <v>676</v>
      </c>
      <c r="M47" s="399">
        <f t="shared" ref="M47" si="28">H47</f>
        <v>2</v>
      </c>
    </row>
    <row r="48" spans="1:15" s="353" customFormat="1">
      <c r="A48" s="833" t="s">
        <v>22</v>
      </c>
      <c r="B48" s="833"/>
      <c r="C48" s="833"/>
      <c r="D48" s="833"/>
      <c r="E48" s="833"/>
      <c r="F48" s="833"/>
      <c r="G48" s="833"/>
      <c r="H48" s="833"/>
      <c r="I48" s="833"/>
      <c r="J48" s="833"/>
      <c r="K48" s="833"/>
      <c r="L48" s="833"/>
      <c r="M48" s="399">
        <f>SUM(M46:M47)</f>
        <v>6</v>
      </c>
    </row>
  </sheetData>
  <mergeCells count="25">
    <mergeCell ref="A19:M19"/>
    <mergeCell ref="A20:C20"/>
    <mergeCell ref="D20:F20"/>
    <mergeCell ref="A17:L17"/>
    <mergeCell ref="A1:C3"/>
    <mergeCell ref="D1:M1"/>
    <mergeCell ref="I2:K2"/>
    <mergeCell ref="D2:H2"/>
    <mergeCell ref="D3:L3"/>
    <mergeCell ref="A5:M5"/>
    <mergeCell ref="A6:C6"/>
    <mergeCell ref="D6:F6"/>
    <mergeCell ref="A48:L48"/>
    <mergeCell ref="A44:M44"/>
    <mergeCell ref="A45:C45"/>
    <mergeCell ref="D45:F45"/>
    <mergeCell ref="A31:L31"/>
    <mergeCell ref="A42:L42"/>
    <mergeCell ref="A39:M39"/>
    <mergeCell ref="A40:C40"/>
    <mergeCell ref="D40:F40"/>
    <mergeCell ref="A37:L37"/>
    <mergeCell ref="A33:M33"/>
    <mergeCell ref="A34:C34"/>
    <mergeCell ref="D34:F34"/>
  </mergeCells>
  <printOptions horizontalCentered="1"/>
  <pageMargins left="0.78740157480314965" right="0.78740157480314965" top="0.78740157480314965" bottom="0.59055118110236227" header="0" footer="0.19685039370078741"/>
  <pageSetup paperSize="9" scale="67" orientation="portrait" r:id="rId1"/>
  <headerFooter alignWithMargins="0">
    <oddFooter>&amp;CEng° Darcio Pagani Vieira
Crea/SC - 077.222-9</oddFooter>
  </headerFooter>
  <ignoredErrors>
    <ignoredError sqref="A21:G21 A10:G10 A9:G9 A11:G13 A15:G15 A22:G28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51"/>
  <sheetViews>
    <sheetView showGridLines="0" zoomScale="85" zoomScaleNormal="85" workbookViewId="0">
      <selection activeCell="D21" sqref="D21"/>
    </sheetView>
  </sheetViews>
  <sheetFormatPr defaultRowHeight="14.4"/>
  <cols>
    <col min="1" max="1" width="9.5546875" customWidth="1"/>
    <col min="2" max="2" width="10.6640625" customWidth="1"/>
    <col min="3" max="3" width="6.88671875" customWidth="1"/>
    <col min="4" max="4" width="64.33203125" customWidth="1"/>
    <col min="5" max="5" width="25.44140625" customWidth="1"/>
    <col min="6" max="6" width="12.33203125" customWidth="1"/>
    <col min="7" max="7" width="10.88671875" customWidth="1"/>
    <col min="8" max="8" width="12" customWidth="1"/>
    <col min="9" max="9" width="12.44140625" customWidth="1"/>
    <col min="10" max="10" width="19.109375" customWidth="1"/>
  </cols>
  <sheetData>
    <row r="1" spans="1:10" ht="14.25" customHeight="1">
      <c r="A1" s="28"/>
      <c r="B1" s="28"/>
      <c r="C1" s="28"/>
      <c r="D1" s="38" t="s">
        <v>60</v>
      </c>
      <c r="E1" s="6"/>
      <c r="F1" s="39" t="s">
        <v>61</v>
      </c>
      <c r="G1" s="6"/>
      <c r="H1" s="6"/>
      <c r="I1" s="6"/>
      <c r="J1" s="28"/>
    </row>
    <row r="2" spans="1:10">
      <c r="A2" s="28"/>
      <c r="B2" s="28"/>
      <c r="C2" s="28"/>
      <c r="D2" s="881" t="s">
        <v>16</v>
      </c>
      <c r="E2" s="882"/>
      <c r="F2" s="495"/>
      <c r="G2" s="496"/>
      <c r="H2" s="496"/>
      <c r="I2" s="497"/>
      <c r="J2" s="28"/>
    </row>
    <row r="3" spans="1:10" ht="14.25" customHeight="1">
      <c r="A3" s="28"/>
      <c r="B3" s="28"/>
      <c r="C3" s="28"/>
      <c r="D3" s="40" t="s">
        <v>62</v>
      </c>
      <c r="E3" s="6"/>
      <c r="F3" s="6"/>
      <c r="G3" s="6"/>
      <c r="H3" s="6"/>
      <c r="I3" s="6"/>
      <c r="J3" s="28"/>
    </row>
    <row r="4" spans="1:10">
      <c r="A4" s="28"/>
      <c r="B4" s="28"/>
      <c r="C4" s="28"/>
      <c r="D4" s="926" t="s">
        <v>223</v>
      </c>
      <c r="E4" s="927"/>
      <c r="F4" s="927"/>
      <c r="G4" s="927"/>
      <c r="H4" s="927"/>
      <c r="I4" s="928"/>
      <c r="J4" s="28"/>
    </row>
    <row r="5" spans="1:10" ht="14.25" customHeight="1">
      <c r="A5" s="28"/>
      <c r="B5" s="28"/>
      <c r="C5" s="28"/>
      <c r="D5" s="39" t="s">
        <v>63</v>
      </c>
      <c r="E5" s="39"/>
      <c r="F5" s="6"/>
      <c r="G5" s="6"/>
      <c r="H5" s="6"/>
      <c r="I5" s="6"/>
      <c r="J5" s="28"/>
    </row>
    <row r="6" spans="1:10" ht="26.4">
      <c r="A6" s="28"/>
      <c r="B6" s="28"/>
      <c r="C6" s="28"/>
      <c r="D6" s="498" t="str">
        <f>PAVIM.!G3</f>
        <v>RUA JOSÉ MARQUES, RUA VEREADOR FLÁVIO ROCHA, RUA 156 e RUA CRICIÚMA</v>
      </c>
      <c r="E6" s="929" t="str">
        <f>PAVIM.!I2</f>
        <v>BAIRRO: VILA BEATRIZ</v>
      </c>
      <c r="F6" s="930"/>
      <c r="G6" s="931"/>
      <c r="H6" s="939" t="str">
        <f ca="1">PAVIM.!M3</f>
        <v>DATA: 15/10/24</v>
      </c>
      <c r="I6" s="940"/>
      <c r="J6" s="28"/>
    </row>
    <row r="7" spans="1:10" s="8" customFormat="1" ht="5.25" customHeight="1">
      <c r="A7" s="382"/>
      <c r="B7" s="382"/>
      <c r="C7" s="382"/>
      <c r="D7" s="499"/>
      <c r="E7" s="935"/>
      <c r="F7" s="935"/>
      <c r="G7" s="935"/>
      <c r="H7" s="941"/>
      <c r="I7" s="940"/>
      <c r="J7" s="382"/>
    </row>
    <row r="8" spans="1:10" s="265" customFormat="1" ht="14.25" customHeight="1">
      <c r="A8" s="28"/>
      <c r="B8" s="28"/>
      <c r="C8" s="28"/>
      <c r="D8" s="500" t="str">
        <f>PAVIM.!K2</f>
        <v>MUNICIPIO: MARACAJÁ</v>
      </c>
      <c r="E8" s="936" t="str">
        <f>PAVIM.!M2</f>
        <v>ESTADO: SANTA CATARINA</v>
      </c>
      <c r="F8" s="937"/>
      <c r="G8" s="938"/>
      <c r="H8" s="942"/>
      <c r="I8" s="943"/>
      <c r="J8" s="28"/>
    </row>
    <row r="9" spans="1:10" ht="5.25" customHeight="1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0">
      <c r="A10" s="932" t="s">
        <v>633</v>
      </c>
      <c r="B10" s="933"/>
      <c r="C10" s="933"/>
      <c r="D10" s="933"/>
      <c r="E10" s="933"/>
      <c r="F10" s="933"/>
      <c r="G10" s="933"/>
      <c r="H10" s="933"/>
      <c r="I10" s="933"/>
      <c r="J10" s="933"/>
    </row>
    <row r="11" spans="1:10" ht="5.2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0">
      <c r="A12" s="28"/>
      <c r="B12" s="28"/>
      <c r="C12" s="28"/>
      <c r="D12" s="55" t="s">
        <v>64</v>
      </c>
      <c r="E12" s="28"/>
      <c r="F12" s="28"/>
      <c r="G12" s="28"/>
      <c r="H12" s="28"/>
      <c r="I12" s="28"/>
      <c r="J12" s="28"/>
    </row>
    <row r="13" spans="1:10">
      <c r="A13" s="28"/>
      <c r="B13" s="28"/>
      <c r="C13" s="28"/>
      <c r="D13" s="41" t="s">
        <v>121</v>
      </c>
      <c r="E13" s="28"/>
      <c r="F13" s="28"/>
      <c r="G13" s="28"/>
      <c r="H13" s="28"/>
      <c r="I13" s="28"/>
      <c r="J13" s="28"/>
    </row>
    <row r="14" spans="1:10" ht="9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</row>
    <row r="15" spans="1:10">
      <c r="A15" s="28"/>
      <c r="B15" s="28"/>
      <c r="C15" s="934" t="s">
        <v>65</v>
      </c>
      <c r="D15" s="934"/>
      <c r="E15" s="934"/>
      <c r="F15" s="934"/>
      <c r="G15" s="934"/>
      <c r="H15" s="934"/>
      <c r="I15" s="934"/>
      <c r="J15" s="28"/>
    </row>
    <row r="16" spans="1:10" ht="35.25" customHeight="1">
      <c r="A16" s="28"/>
      <c r="B16" s="28"/>
      <c r="C16" s="43" t="s">
        <v>66</v>
      </c>
      <c r="D16" s="43" t="s">
        <v>67</v>
      </c>
      <c r="E16" s="43" t="s">
        <v>68</v>
      </c>
      <c r="F16" s="43" t="s">
        <v>69</v>
      </c>
      <c r="G16" s="404" t="s">
        <v>70</v>
      </c>
      <c r="H16" s="508" t="s">
        <v>71</v>
      </c>
      <c r="I16" s="508" t="s">
        <v>72</v>
      </c>
      <c r="J16" s="28"/>
    </row>
    <row r="17" spans="1:10">
      <c r="A17" s="28"/>
      <c r="B17" s="28"/>
      <c r="C17" s="207">
        <v>1</v>
      </c>
      <c r="D17" s="60" t="s">
        <v>73</v>
      </c>
      <c r="E17" s="207" t="s">
        <v>74</v>
      </c>
      <c r="F17" s="208">
        <v>3.7999999999999999E-2</v>
      </c>
      <c r="G17" s="209" t="s">
        <v>75</v>
      </c>
      <c r="H17" s="208">
        <v>3.7999999999999999E-2</v>
      </c>
      <c r="I17" s="208">
        <v>4.6699999999999998E-2</v>
      </c>
      <c r="J17" s="28"/>
    </row>
    <row r="18" spans="1:10">
      <c r="A18" s="28"/>
      <c r="B18" s="28"/>
      <c r="C18" s="43">
        <v>2</v>
      </c>
      <c r="D18" s="42" t="s">
        <v>76</v>
      </c>
      <c r="E18" s="43" t="s">
        <v>77</v>
      </c>
      <c r="F18" s="44">
        <v>3.2000000000000002E-3</v>
      </c>
      <c r="G18" s="43" t="s">
        <v>75</v>
      </c>
      <c r="H18" s="44">
        <v>3.2000000000000002E-3</v>
      </c>
      <c r="I18" s="44">
        <v>7.4000000000000003E-3</v>
      </c>
      <c r="J18" s="28"/>
    </row>
    <row r="19" spans="1:10">
      <c r="A19" s="28"/>
      <c r="B19" s="28"/>
      <c r="C19" s="43">
        <v>3</v>
      </c>
      <c r="D19" s="42" t="s">
        <v>78</v>
      </c>
      <c r="E19" s="43" t="s">
        <v>79</v>
      </c>
      <c r="F19" s="44">
        <v>5.0000000000000001E-3</v>
      </c>
      <c r="G19" s="43" t="s">
        <v>75</v>
      </c>
      <c r="H19" s="44">
        <v>5.0000000000000001E-3</v>
      </c>
      <c r="I19" s="44">
        <v>9.7000000000000003E-3</v>
      </c>
      <c r="J19" s="45"/>
    </row>
    <row r="20" spans="1:10">
      <c r="A20" s="28"/>
      <c r="B20" s="28"/>
      <c r="C20" s="43">
        <v>4</v>
      </c>
      <c r="D20" s="42" t="s">
        <v>80</v>
      </c>
      <c r="E20" s="43" t="s">
        <v>81</v>
      </c>
      <c r="F20" s="44">
        <v>1.0200000000000001E-2</v>
      </c>
      <c r="G20" s="43" t="s">
        <v>75</v>
      </c>
      <c r="H20" s="44">
        <v>1.0200000000000001E-2</v>
      </c>
      <c r="I20" s="44">
        <v>1.21E-2</v>
      </c>
      <c r="J20" s="45"/>
    </row>
    <row r="21" spans="1:10">
      <c r="A21" s="28"/>
      <c r="B21" s="28"/>
      <c r="C21" s="43">
        <v>5</v>
      </c>
      <c r="D21" s="42" t="s">
        <v>82</v>
      </c>
      <c r="E21" s="43" t="s">
        <v>83</v>
      </c>
      <c r="F21" s="44">
        <v>6.6400000000000001E-2</v>
      </c>
      <c r="G21" s="43" t="s">
        <v>75</v>
      </c>
      <c r="H21" s="44">
        <v>6.6400000000000001E-2</v>
      </c>
      <c r="I21" s="44">
        <v>8.6900000000000005E-2</v>
      </c>
      <c r="J21" s="45"/>
    </row>
    <row r="22" spans="1:10">
      <c r="A22" s="28"/>
      <c r="B22" s="28"/>
      <c r="C22" s="43">
        <v>6</v>
      </c>
      <c r="D22" s="42" t="s">
        <v>84</v>
      </c>
      <c r="E22" s="43" t="s">
        <v>85</v>
      </c>
      <c r="F22" s="44">
        <f>SUM(F23:F26)</f>
        <v>6.6500000000000004E-2</v>
      </c>
      <c r="G22" s="43" t="s">
        <v>75</v>
      </c>
      <c r="H22" s="44">
        <v>3.6499999999999998E-2</v>
      </c>
      <c r="I22" s="44">
        <v>8.6499999999999994E-2</v>
      </c>
      <c r="J22" s="921" t="s">
        <v>86</v>
      </c>
    </row>
    <row r="23" spans="1:10" ht="15" customHeight="1" thickBot="1">
      <c r="A23" s="28"/>
      <c r="B23" s="28"/>
      <c r="C23" s="43" t="s">
        <v>87</v>
      </c>
      <c r="D23" s="42" t="s">
        <v>88</v>
      </c>
      <c r="E23" s="43" t="s">
        <v>88</v>
      </c>
      <c r="F23" s="44">
        <v>6.4999999999999997E-3</v>
      </c>
      <c r="G23" s="43" t="s">
        <v>75</v>
      </c>
      <c r="H23" s="44">
        <v>6.4999999999999997E-3</v>
      </c>
      <c r="I23" s="44">
        <v>6.4999999999999997E-3</v>
      </c>
      <c r="J23" s="921"/>
    </row>
    <row r="24" spans="1:10">
      <c r="A24" s="922" t="s">
        <v>89</v>
      </c>
      <c r="B24" s="924" t="s">
        <v>90</v>
      </c>
      <c r="C24" s="43" t="s">
        <v>91</v>
      </c>
      <c r="D24" s="42" t="s">
        <v>92</v>
      </c>
      <c r="E24" s="43" t="s">
        <v>92</v>
      </c>
      <c r="F24" s="44">
        <v>0.03</v>
      </c>
      <c r="G24" s="43" t="s">
        <v>75</v>
      </c>
      <c r="H24" s="44">
        <v>0.03</v>
      </c>
      <c r="I24" s="44">
        <v>0.03</v>
      </c>
      <c r="J24" s="921"/>
    </row>
    <row r="25" spans="1:10" ht="15" thickBot="1">
      <c r="A25" s="923"/>
      <c r="B25" s="925"/>
      <c r="C25" s="43" t="s">
        <v>93</v>
      </c>
      <c r="D25" s="46" t="s">
        <v>94</v>
      </c>
      <c r="E25" s="47" t="s">
        <v>95</v>
      </c>
      <c r="F25" s="48">
        <v>0</v>
      </c>
      <c r="G25" s="43" t="s">
        <v>75</v>
      </c>
      <c r="H25" s="48">
        <v>4.4999999999999998E-2</v>
      </c>
      <c r="I25" s="48">
        <v>4.4999999999999998E-2</v>
      </c>
      <c r="J25" s="49" t="s">
        <v>96</v>
      </c>
    </row>
    <row r="26" spans="1:10" ht="15" thickBot="1">
      <c r="A26" s="50">
        <v>0.03</v>
      </c>
      <c r="B26" s="51">
        <v>1</v>
      </c>
      <c r="C26" s="206" t="s">
        <v>97</v>
      </c>
      <c r="D26" s="53" t="s">
        <v>98</v>
      </c>
      <c r="E26" s="52" t="s">
        <v>98</v>
      </c>
      <c r="F26" s="54">
        <v>0.03</v>
      </c>
      <c r="G26" s="43" t="s">
        <v>75</v>
      </c>
      <c r="H26" s="44">
        <v>0.02</v>
      </c>
      <c r="I26" s="44">
        <v>0.05</v>
      </c>
      <c r="J26" s="55"/>
    </row>
    <row r="27" spans="1:10">
      <c r="A27" s="45"/>
      <c r="B27" s="45"/>
      <c r="C27" s="45"/>
      <c r="D27" s="45"/>
      <c r="E27" s="904" t="s">
        <v>99</v>
      </c>
      <c r="F27" s="904"/>
      <c r="G27" s="904"/>
      <c r="H27" s="905" t="s">
        <v>100</v>
      </c>
      <c r="I27" s="906"/>
      <c r="J27" s="45"/>
    </row>
    <row r="28" spans="1:10" ht="12" customHeight="1">
      <c r="A28" s="45"/>
      <c r="B28" s="907" t="s">
        <v>101</v>
      </c>
      <c r="C28" s="908"/>
      <c r="D28" s="909"/>
      <c r="E28" s="45"/>
      <c r="F28" s="45"/>
      <c r="G28" s="45"/>
      <c r="H28" s="45"/>
      <c r="I28" s="45"/>
      <c r="J28" s="28"/>
    </row>
    <row r="29" spans="1:10">
      <c r="A29" s="45"/>
      <c r="B29" s="56"/>
      <c r="C29" s="57"/>
      <c r="D29" s="58"/>
      <c r="E29" s="45"/>
      <c r="F29" s="45"/>
      <c r="G29" s="45"/>
      <c r="H29" s="45"/>
      <c r="I29" s="45"/>
      <c r="J29" s="28"/>
    </row>
    <row r="30" spans="1:10">
      <c r="A30" s="45"/>
      <c r="B30" s="56"/>
      <c r="C30" s="910" t="s">
        <v>102</v>
      </c>
      <c r="D30" s="59" t="s">
        <v>103</v>
      </c>
      <c r="E30" s="911" t="s">
        <v>7</v>
      </c>
      <c r="F30" s="912">
        <f>TRUNC((((1+F17+F18+F19)*(1+F20)*(1+F21))/(1-F22))-1,4)</f>
        <v>0.20730000000000001</v>
      </c>
      <c r="G30" s="913" t="s">
        <v>104</v>
      </c>
      <c r="H30" s="914"/>
      <c r="I30" s="915"/>
      <c r="J30" s="28"/>
    </row>
    <row r="31" spans="1:10">
      <c r="A31" s="45"/>
      <c r="B31" s="56"/>
      <c r="C31" s="910"/>
      <c r="D31" s="57" t="s">
        <v>105</v>
      </c>
      <c r="E31" s="911"/>
      <c r="F31" s="912"/>
      <c r="G31" s="916"/>
      <c r="H31" s="916"/>
      <c r="I31" s="917"/>
      <c r="J31" s="28"/>
    </row>
    <row r="32" spans="1:10" ht="15" customHeight="1">
      <c r="A32" s="45"/>
      <c r="B32" s="60"/>
      <c r="C32" s="61"/>
      <c r="D32" s="62"/>
      <c r="E32" s="45"/>
      <c r="F32" s="45"/>
      <c r="G32" s="918"/>
      <c r="H32" s="919"/>
      <c r="I32" s="920"/>
      <c r="J32" s="28"/>
    </row>
    <row r="33" spans="1:10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>
      <c r="A34" s="28"/>
      <c r="B34" s="501"/>
      <c r="C34" s="502"/>
      <c r="D34" s="502"/>
      <c r="E34" s="502"/>
      <c r="F34" s="502"/>
      <c r="G34" s="502"/>
      <c r="H34" s="502"/>
      <c r="I34" s="503"/>
      <c r="J34" s="28"/>
    </row>
    <row r="35" spans="1:10">
      <c r="A35" s="28"/>
      <c r="B35" s="504"/>
      <c r="C35" s="505"/>
      <c r="D35" s="505"/>
      <c r="E35" s="505"/>
      <c r="F35" s="505"/>
      <c r="G35" s="505"/>
      <c r="H35" s="505"/>
      <c r="I35" s="506"/>
      <c r="J35" s="28"/>
    </row>
    <row r="36" spans="1:10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ht="15" customHeight="1">
      <c r="A37" s="28"/>
      <c r="B37" s="878" t="s">
        <v>634</v>
      </c>
      <c r="C37" s="879"/>
      <c r="D37" s="879"/>
      <c r="E37" s="879"/>
      <c r="F37" s="879"/>
      <c r="G37" s="879"/>
      <c r="H37" s="879"/>
      <c r="I37" s="880"/>
      <c r="J37" s="28"/>
    </row>
    <row r="38" spans="1:10">
      <c r="A38" s="28"/>
      <c r="B38" s="892" t="s">
        <v>106</v>
      </c>
      <c r="C38" s="892"/>
      <c r="D38" s="892"/>
      <c r="E38" s="892"/>
      <c r="F38" s="892"/>
      <c r="G38" s="892"/>
      <c r="H38" s="892"/>
      <c r="I38" s="892"/>
      <c r="J38" s="28"/>
    </row>
    <row r="39" spans="1:10">
      <c r="A39" s="28"/>
      <c r="B39" s="893" t="s">
        <v>635</v>
      </c>
      <c r="C39" s="893"/>
      <c r="D39" s="893"/>
      <c r="E39" s="893"/>
      <c r="F39" s="893"/>
      <c r="G39" s="893"/>
      <c r="H39" s="893"/>
      <c r="I39" s="893"/>
      <c r="J39" s="28"/>
    </row>
    <row r="40" spans="1:10">
      <c r="A40" s="28"/>
      <c r="B40" s="894" t="s">
        <v>107</v>
      </c>
      <c r="C40" s="894"/>
      <c r="D40" s="894"/>
      <c r="E40" s="894"/>
      <c r="F40" s="894"/>
      <c r="G40" s="894"/>
      <c r="H40" s="894"/>
      <c r="I40" s="894"/>
      <c r="J40" s="28"/>
    </row>
    <row r="41" spans="1:10">
      <c r="A41" s="28"/>
      <c r="B41" s="45"/>
      <c r="C41" s="45"/>
      <c r="D41" s="45"/>
      <c r="E41" s="45"/>
      <c r="F41" s="895" t="s">
        <v>108</v>
      </c>
      <c r="G41" s="896"/>
      <c r="H41" s="896"/>
      <c r="I41" s="897"/>
      <c r="J41" s="28"/>
    </row>
    <row r="42" spans="1:10">
      <c r="A42" s="28"/>
      <c r="B42" s="898"/>
      <c r="C42" s="899"/>
      <c r="D42" s="45"/>
      <c r="E42" s="45"/>
      <c r="F42" s="900" t="s">
        <v>109</v>
      </c>
      <c r="G42" s="901"/>
      <c r="H42" s="901"/>
      <c r="I42" s="902"/>
      <c r="J42" s="28"/>
    </row>
    <row r="43" spans="1:10">
      <c r="A43" s="28"/>
      <c r="B43" s="903"/>
      <c r="C43" s="903"/>
      <c r="D43" s="45"/>
      <c r="E43" s="45"/>
      <c r="F43" s="900"/>
      <c r="G43" s="901"/>
      <c r="H43" s="901"/>
      <c r="I43" s="902"/>
      <c r="J43" s="28"/>
    </row>
    <row r="44" spans="1:10">
      <c r="A44" s="28"/>
      <c r="B44" s="45"/>
      <c r="C44" s="45"/>
      <c r="D44" s="45"/>
      <c r="E44" s="45"/>
      <c r="F44" s="900"/>
      <c r="G44" s="901"/>
      <c r="H44" s="901"/>
      <c r="I44" s="902"/>
      <c r="J44" s="28"/>
    </row>
    <row r="45" spans="1:10">
      <c r="A45" s="28"/>
      <c r="B45" s="45"/>
      <c r="C45" s="45"/>
      <c r="D45" s="63"/>
      <c r="E45" s="45"/>
      <c r="F45" s="64"/>
      <c r="G45" s="65"/>
      <c r="H45" s="65"/>
      <c r="I45" s="66"/>
      <c r="J45" s="28"/>
    </row>
    <row r="46" spans="1:10">
      <c r="A46" s="28"/>
      <c r="B46" s="45"/>
      <c r="C46" s="45"/>
      <c r="D46" s="507" t="s">
        <v>110</v>
      </c>
      <c r="E46" s="45"/>
      <c r="F46" s="67"/>
      <c r="G46" s="68"/>
      <c r="H46" s="68"/>
      <c r="I46" s="69"/>
      <c r="J46" s="28"/>
    </row>
    <row r="47" spans="1:10">
      <c r="A47" s="28"/>
      <c r="B47" s="45"/>
      <c r="C47" s="45"/>
      <c r="D47" s="45" t="s">
        <v>111</v>
      </c>
      <c r="E47" s="45"/>
      <c r="F47" s="883" t="s">
        <v>112</v>
      </c>
      <c r="G47" s="884"/>
      <c r="H47" s="884"/>
      <c r="I47" s="885"/>
      <c r="J47" s="28"/>
    </row>
    <row r="48" spans="1:10">
      <c r="A48" s="28"/>
      <c r="B48" s="45"/>
      <c r="C48" s="45"/>
      <c r="D48" s="45" t="s">
        <v>113</v>
      </c>
      <c r="E48" s="45"/>
      <c r="F48" s="886" t="s">
        <v>114</v>
      </c>
      <c r="G48" s="887"/>
      <c r="H48" s="887"/>
      <c r="I48" s="888"/>
      <c r="J48" s="28"/>
    </row>
    <row r="49" spans="1:10">
      <c r="A49" s="28"/>
      <c r="B49" s="45"/>
      <c r="C49" s="45"/>
      <c r="D49" s="45" t="s">
        <v>115</v>
      </c>
      <c r="E49" s="45"/>
      <c r="F49" s="70" t="s">
        <v>116</v>
      </c>
      <c r="G49" s="71"/>
      <c r="H49" s="71"/>
      <c r="I49" s="72"/>
      <c r="J49" s="28"/>
    </row>
    <row r="50" spans="1:10">
      <c r="A50" s="28"/>
      <c r="B50" s="45"/>
      <c r="C50" s="45"/>
      <c r="D50" s="45"/>
      <c r="E50" s="45"/>
      <c r="F50" s="889" t="s">
        <v>117</v>
      </c>
      <c r="G50" s="890"/>
      <c r="H50" s="890"/>
      <c r="I50" s="891"/>
      <c r="J50" s="28"/>
    </row>
    <row r="51" spans="1:10">
      <c r="A51" s="28"/>
      <c r="B51" s="45"/>
      <c r="C51" s="45"/>
      <c r="D51" s="45"/>
      <c r="E51" s="45"/>
      <c r="F51" s="45"/>
      <c r="G51" s="45"/>
      <c r="H51" s="45"/>
      <c r="I51" s="45"/>
      <c r="J51" s="28"/>
    </row>
  </sheetData>
  <mergeCells count="29">
    <mergeCell ref="D4:I4"/>
    <mergeCell ref="E6:G6"/>
    <mergeCell ref="A10:J10"/>
    <mergeCell ref="C15:I15"/>
    <mergeCell ref="E7:G7"/>
    <mergeCell ref="E8:G8"/>
    <mergeCell ref="H6:I8"/>
    <mergeCell ref="E30:E31"/>
    <mergeCell ref="F30:F31"/>
    <mergeCell ref="G30:I32"/>
    <mergeCell ref="J22:J24"/>
    <mergeCell ref="A24:A25"/>
    <mergeCell ref="B24:B25"/>
    <mergeCell ref="B37:I37"/>
    <mergeCell ref="D2:E2"/>
    <mergeCell ref="F47:I47"/>
    <mergeCell ref="F48:I48"/>
    <mergeCell ref="F50:I50"/>
    <mergeCell ref="B38:I38"/>
    <mergeCell ref="B39:I39"/>
    <mergeCell ref="B40:I40"/>
    <mergeCell ref="F41:I41"/>
    <mergeCell ref="B42:C42"/>
    <mergeCell ref="F42:I44"/>
    <mergeCell ref="B43:C43"/>
    <mergeCell ref="E27:G27"/>
    <mergeCell ref="H27:I27"/>
    <mergeCell ref="B28:D28"/>
    <mergeCell ref="C30:C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J34"/>
  <sheetViews>
    <sheetView showGridLines="0" view="pageBreakPreview" zoomScale="85" zoomScaleNormal="85" zoomScaleSheetLayoutView="85" workbookViewId="0">
      <pane ySplit="3" topLeftCell="A4" activePane="bottomLeft" state="frozen"/>
      <selection activeCell="D21" sqref="D21"/>
      <selection pane="bottomLeft" activeCell="D21" sqref="D21"/>
    </sheetView>
  </sheetViews>
  <sheetFormatPr defaultColWidth="9.109375" defaultRowHeight="13.8"/>
  <cols>
    <col min="1" max="1" width="17.109375" style="201" customWidth="1"/>
    <col min="2" max="2" width="82.33203125" style="201" customWidth="1"/>
    <col min="3" max="3" width="9.109375" style="201" bestFit="1" customWidth="1"/>
    <col min="4" max="4" width="26.33203125" style="201" customWidth="1"/>
    <col min="5" max="5" width="14.33203125" style="201" bestFit="1" customWidth="1"/>
    <col min="6" max="6" width="18.109375" style="201" bestFit="1" customWidth="1"/>
    <col min="7" max="7" width="16.44140625" style="201" bestFit="1" customWidth="1"/>
    <col min="8" max="16384" width="9.109375" style="201"/>
  </cols>
  <sheetData>
    <row r="1" spans="1:10" s="381" customFormat="1" ht="33.75" customHeight="1">
      <c r="A1" s="945"/>
      <c r="B1" s="944" t="s">
        <v>334</v>
      </c>
      <c r="C1" s="944"/>
      <c r="D1" s="944"/>
      <c r="E1" s="944"/>
      <c r="F1" s="944"/>
      <c r="G1" s="944"/>
    </row>
    <row r="2" spans="1:10" ht="15.6">
      <c r="A2" s="945"/>
      <c r="B2" s="579" t="str">
        <f>PAVIM.!G2</f>
        <v>PREFEITURA MUNICIPAL DE MARACAJÁ</v>
      </c>
      <c r="C2" s="704" t="str">
        <f>PAVIM.!I2</f>
        <v>BAIRRO: VILA BEATRIZ</v>
      </c>
      <c r="D2" s="704"/>
      <c r="E2" s="951" t="str">
        <f>PAVIM.!M2</f>
        <v>ESTADO: SANTA CATARINA</v>
      </c>
      <c r="F2" s="951"/>
      <c r="G2" s="952" t="str">
        <f ca="1">PAVIM.!M3</f>
        <v>DATA: 15/10/24</v>
      </c>
    </row>
    <row r="3" spans="1:10" ht="15.6">
      <c r="A3" s="945"/>
      <c r="B3" s="579" t="str">
        <f>PAVIM.!G3</f>
        <v>RUA JOSÉ MARQUES, RUA VEREADOR FLÁVIO ROCHA, RUA 156 e RUA CRICIÚMA</v>
      </c>
      <c r="C3" s="950" t="str">
        <f>PAVIM.!K2</f>
        <v>MUNICIPIO: MARACAJÁ</v>
      </c>
      <c r="D3" s="950"/>
      <c r="E3" s="951"/>
      <c r="F3" s="951"/>
      <c r="G3" s="953"/>
    </row>
    <row r="4" spans="1:10" s="203" customFormat="1" ht="15.6">
      <c r="A4" s="383"/>
      <c r="B4" s="384"/>
      <c r="C4" s="384"/>
      <c r="D4" s="384"/>
      <c r="E4" s="384"/>
      <c r="F4" s="385"/>
      <c r="G4" s="386"/>
    </row>
    <row r="5" spans="1:10" s="204" customFormat="1" ht="15.6" hidden="1">
      <c r="A5" s="581" t="s">
        <v>499</v>
      </c>
      <c r="B5" s="946" t="s">
        <v>660</v>
      </c>
      <c r="C5" s="946"/>
      <c r="D5" s="946"/>
      <c r="E5" s="946"/>
      <c r="F5" s="946"/>
      <c r="G5" s="946"/>
      <c r="I5" s="205"/>
      <c r="J5" s="205"/>
    </row>
    <row r="6" spans="1:10" ht="15.6" hidden="1">
      <c r="A6" s="509" t="s">
        <v>290</v>
      </c>
      <c r="B6" s="509" t="s">
        <v>335</v>
      </c>
      <c r="C6" s="509" t="s">
        <v>336</v>
      </c>
      <c r="D6" s="509" t="s">
        <v>337</v>
      </c>
      <c r="E6" s="509" t="s">
        <v>338</v>
      </c>
      <c r="F6" s="509" t="s">
        <v>339</v>
      </c>
      <c r="G6" s="509" t="s">
        <v>340</v>
      </c>
      <c r="I6" s="203"/>
      <c r="J6" s="203"/>
    </row>
    <row r="7" spans="1:10" ht="31.2" hidden="1">
      <c r="A7" s="387" t="s">
        <v>647</v>
      </c>
      <c r="B7" s="387" t="s">
        <v>648</v>
      </c>
      <c r="C7" s="387" t="s">
        <v>649</v>
      </c>
      <c r="D7" s="387" t="s">
        <v>342</v>
      </c>
      <c r="E7" s="388" t="s">
        <v>650</v>
      </c>
      <c r="F7" s="389">
        <f>COTAÇÃO!F129</f>
        <v>60</v>
      </c>
      <c r="G7" s="389">
        <f t="shared" ref="G7:G8" si="0">E7*F7</f>
        <v>66</v>
      </c>
      <c r="I7" s="203"/>
      <c r="J7" s="203"/>
    </row>
    <row r="8" spans="1:10" ht="31.2" hidden="1">
      <c r="A8" s="387" t="s">
        <v>651</v>
      </c>
      <c r="B8" s="387" t="s">
        <v>652</v>
      </c>
      <c r="C8" s="387" t="s">
        <v>649</v>
      </c>
      <c r="D8" s="387" t="s">
        <v>342</v>
      </c>
      <c r="E8" s="388" t="s">
        <v>653</v>
      </c>
      <c r="F8" s="389">
        <f>COTAÇÃO!F109</f>
        <v>95</v>
      </c>
      <c r="G8" s="389">
        <f t="shared" si="0"/>
        <v>28.5</v>
      </c>
      <c r="I8" s="203"/>
      <c r="J8" s="203"/>
    </row>
    <row r="9" spans="1:10" ht="46.8" hidden="1">
      <c r="A9" s="387" t="s">
        <v>349</v>
      </c>
      <c r="B9" s="387" t="s">
        <v>350</v>
      </c>
      <c r="C9" s="387" t="s">
        <v>341</v>
      </c>
      <c r="D9" s="387" t="s">
        <v>347</v>
      </c>
      <c r="E9" s="388" t="s">
        <v>484</v>
      </c>
      <c r="F9" s="389" t="s">
        <v>671</v>
      </c>
      <c r="G9" s="389">
        <f t="shared" ref="G9:G15" si="1">E9*F9</f>
        <v>4.2341499999999996</v>
      </c>
      <c r="I9" s="203"/>
      <c r="J9" s="203"/>
    </row>
    <row r="10" spans="1:10" ht="46.8" hidden="1">
      <c r="A10" s="387" t="s">
        <v>351</v>
      </c>
      <c r="B10" s="387" t="s">
        <v>352</v>
      </c>
      <c r="C10" s="387" t="s">
        <v>343</v>
      </c>
      <c r="D10" s="387" t="s">
        <v>347</v>
      </c>
      <c r="E10" s="388" t="s">
        <v>485</v>
      </c>
      <c r="F10" s="389" t="s">
        <v>654</v>
      </c>
      <c r="G10" s="389">
        <f t="shared" si="1"/>
        <v>4.2988499999999998</v>
      </c>
      <c r="I10" s="203"/>
      <c r="J10" s="203"/>
    </row>
    <row r="11" spans="1:10" ht="62.4" hidden="1">
      <c r="A11" s="387" t="s">
        <v>486</v>
      </c>
      <c r="B11" s="387" t="s">
        <v>487</v>
      </c>
      <c r="C11" s="387" t="s">
        <v>341</v>
      </c>
      <c r="D11" s="387" t="s">
        <v>342</v>
      </c>
      <c r="E11" s="388" t="s">
        <v>488</v>
      </c>
      <c r="F11" s="389" t="s">
        <v>672</v>
      </c>
      <c r="G11" s="389">
        <f t="shared" si="1"/>
        <v>1.4061600000000001</v>
      </c>
      <c r="I11" s="203"/>
      <c r="J11" s="203"/>
    </row>
    <row r="12" spans="1:10" ht="62.4" hidden="1">
      <c r="A12" s="387" t="s">
        <v>489</v>
      </c>
      <c r="B12" s="387" t="s">
        <v>490</v>
      </c>
      <c r="C12" s="387" t="s">
        <v>343</v>
      </c>
      <c r="D12" s="387" t="s">
        <v>342</v>
      </c>
      <c r="E12" s="388" t="s">
        <v>491</v>
      </c>
      <c r="F12" s="389" t="s">
        <v>656</v>
      </c>
      <c r="G12" s="389">
        <f t="shared" si="1"/>
        <v>3.6096499999999998</v>
      </c>
      <c r="I12" s="203"/>
      <c r="J12" s="203"/>
    </row>
    <row r="13" spans="1:10" ht="46.8" hidden="1">
      <c r="A13" s="387" t="s">
        <v>492</v>
      </c>
      <c r="B13" s="387" t="s">
        <v>493</v>
      </c>
      <c r="C13" s="387" t="s">
        <v>341</v>
      </c>
      <c r="D13" s="387" t="s">
        <v>342</v>
      </c>
      <c r="E13" s="388" t="s">
        <v>494</v>
      </c>
      <c r="F13" s="389" t="s">
        <v>673</v>
      </c>
      <c r="G13" s="389">
        <f t="shared" si="1"/>
        <v>3.1048599999999995</v>
      </c>
      <c r="I13" s="203"/>
      <c r="J13" s="203"/>
    </row>
    <row r="14" spans="1:10" ht="46.8" hidden="1">
      <c r="A14" s="387" t="s">
        <v>495</v>
      </c>
      <c r="B14" s="387" t="s">
        <v>496</v>
      </c>
      <c r="C14" s="387" t="s">
        <v>343</v>
      </c>
      <c r="D14" s="387" t="s">
        <v>342</v>
      </c>
      <c r="E14" s="388" t="s">
        <v>497</v>
      </c>
      <c r="F14" s="389" t="s">
        <v>658</v>
      </c>
      <c r="G14" s="389">
        <f t="shared" si="1"/>
        <v>6.0467700000000004</v>
      </c>
      <c r="I14" s="203"/>
      <c r="J14" s="203"/>
    </row>
    <row r="15" spans="1:10" ht="15.6" hidden="1">
      <c r="A15" s="387" t="s">
        <v>344</v>
      </c>
      <c r="B15" s="387" t="s">
        <v>345</v>
      </c>
      <c r="C15" s="387" t="s">
        <v>346</v>
      </c>
      <c r="D15" s="387" t="s">
        <v>347</v>
      </c>
      <c r="E15" s="388" t="s">
        <v>498</v>
      </c>
      <c r="F15" s="389" t="s">
        <v>674</v>
      </c>
      <c r="G15" s="389">
        <f t="shared" si="1"/>
        <v>1.44512</v>
      </c>
      <c r="I15" s="203"/>
      <c r="J15" s="203"/>
    </row>
    <row r="16" spans="1:10" ht="15.6" hidden="1">
      <c r="A16" s="390"/>
      <c r="B16" s="391"/>
      <c r="C16" s="391"/>
      <c r="D16" s="391"/>
      <c r="E16" s="391"/>
      <c r="F16" s="392"/>
      <c r="G16" s="510">
        <f>TRUNC(SUM(G7:G15),2)</f>
        <v>118.64</v>
      </c>
      <c r="I16" s="203"/>
      <c r="J16" s="203"/>
    </row>
    <row r="17" spans="1:10" ht="15.6" hidden="1">
      <c r="A17" s="393"/>
      <c r="B17" s="394"/>
      <c r="C17" s="394"/>
      <c r="D17" s="394"/>
      <c r="E17" s="394"/>
      <c r="F17" s="394"/>
      <c r="G17" s="395"/>
      <c r="H17" s="202"/>
      <c r="I17" s="203"/>
      <c r="J17" s="203"/>
    </row>
    <row r="18" spans="1:10" ht="15.6">
      <c r="A18" s="581" t="s">
        <v>501</v>
      </c>
      <c r="B18" s="947" t="s">
        <v>500</v>
      </c>
      <c r="C18" s="948"/>
      <c r="D18" s="948"/>
      <c r="E18" s="948"/>
      <c r="F18" s="948"/>
      <c r="G18" s="949"/>
      <c r="I18" s="203"/>
      <c r="J18" s="203"/>
    </row>
    <row r="19" spans="1:10" ht="15.6">
      <c r="A19" s="509" t="s">
        <v>290</v>
      </c>
      <c r="B19" s="509" t="s">
        <v>335</v>
      </c>
      <c r="C19" s="509" t="s">
        <v>336</v>
      </c>
      <c r="D19" s="509" t="s">
        <v>337</v>
      </c>
      <c r="E19" s="509" t="s">
        <v>338</v>
      </c>
      <c r="F19" s="509" t="s">
        <v>339</v>
      </c>
      <c r="G19" s="509" t="s">
        <v>340</v>
      </c>
      <c r="I19" s="203"/>
      <c r="J19" s="203"/>
    </row>
    <row r="20" spans="1:10" ht="62.4">
      <c r="A20" s="387" t="s">
        <v>486</v>
      </c>
      <c r="B20" s="387" t="s">
        <v>487</v>
      </c>
      <c r="C20" s="387" t="s">
        <v>341</v>
      </c>
      <c r="D20" s="387" t="s">
        <v>342</v>
      </c>
      <c r="E20" s="387" t="s">
        <v>488</v>
      </c>
      <c r="F20" s="396" t="s">
        <v>655</v>
      </c>
      <c r="G20" s="396">
        <f t="shared" ref="G20:G29" si="2">E20*F20</f>
        <v>1.40706</v>
      </c>
      <c r="I20" s="203"/>
      <c r="J20" s="203"/>
    </row>
    <row r="21" spans="1:10" ht="62.4">
      <c r="A21" s="387" t="s">
        <v>489</v>
      </c>
      <c r="B21" s="387" t="s">
        <v>490</v>
      </c>
      <c r="C21" s="387" t="s">
        <v>343</v>
      </c>
      <c r="D21" s="387" t="s">
        <v>342</v>
      </c>
      <c r="E21" s="387" t="s">
        <v>502</v>
      </c>
      <c r="F21" s="396" t="s">
        <v>656</v>
      </c>
      <c r="G21" s="396">
        <f t="shared" si="2"/>
        <v>1.3782300000000001</v>
      </c>
      <c r="I21" s="203"/>
      <c r="J21" s="203"/>
    </row>
    <row r="22" spans="1:10" ht="62.4">
      <c r="A22" s="387" t="s">
        <v>503</v>
      </c>
      <c r="B22" s="387" t="s">
        <v>504</v>
      </c>
      <c r="C22" s="387" t="s">
        <v>341</v>
      </c>
      <c r="D22" s="387" t="s">
        <v>348</v>
      </c>
      <c r="E22" s="387" t="s">
        <v>429</v>
      </c>
      <c r="F22" s="389" t="s">
        <v>661</v>
      </c>
      <c r="G22" s="396">
        <f t="shared" si="2"/>
        <v>0.63026000000000004</v>
      </c>
      <c r="I22" s="203"/>
      <c r="J22" s="203"/>
    </row>
    <row r="23" spans="1:10" ht="62.4">
      <c r="A23" s="387" t="s">
        <v>505</v>
      </c>
      <c r="B23" s="387" t="s">
        <v>506</v>
      </c>
      <c r="C23" s="387" t="s">
        <v>343</v>
      </c>
      <c r="D23" s="387" t="s">
        <v>348</v>
      </c>
      <c r="E23" s="387" t="s">
        <v>507</v>
      </c>
      <c r="F23" s="396" t="s">
        <v>662</v>
      </c>
      <c r="G23" s="396">
        <f t="shared" si="2"/>
        <v>2.10364</v>
      </c>
      <c r="I23" s="203"/>
      <c r="J23" s="203"/>
    </row>
    <row r="24" spans="1:10" ht="46.8">
      <c r="A24" s="387" t="s">
        <v>492</v>
      </c>
      <c r="B24" s="387" t="s">
        <v>493</v>
      </c>
      <c r="C24" s="387" t="s">
        <v>341</v>
      </c>
      <c r="D24" s="387" t="s">
        <v>342</v>
      </c>
      <c r="E24" s="387" t="s">
        <v>508</v>
      </c>
      <c r="F24" s="396" t="s">
        <v>657</v>
      </c>
      <c r="G24" s="396">
        <f t="shared" si="2"/>
        <v>2.2591999999999999</v>
      </c>
      <c r="I24" s="203"/>
      <c r="J24" s="203"/>
    </row>
    <row r="25" spans="1:10" ht="46.8">
      <c r="A25" s="387" t="s">
        <v>495</v>
      </c>
      <c r="B25" s="387" t="s">
        <v>496</v>
      </c>
      <c r="C25" s="387" t="s">
        <v>343</v>
      </c>
      <c r="D25" s="387" t="s">
        <v>342</v>
      </c>
      <c r="E25" s="387" t="s">
        <v>509</v>
      </c>
      <c r="F25" s="396" t="s">
        <v>658</v>
      </c>
      <c r="G25" s="396">
        <f t="shared" ref="G25" si="3">E25*F25</f>
        <v>2.5099800000000001</v>
      </c>
      <c r="I25" s="203"/>
      <c r="J25" s="203"/>
    </row>
    <row r="26" spans="1:10" ht="15.6">
      <c r="A26" s="387" t="s">
        <v>344</v>
      </c>
      <c r="B26" s="387" t="s">
        <v>345</v>
      </c>
      <c r="C26" s="387" t="s">
        <v>346</v>
      </c>
      <c r="D26" s="387" t="s">
        <v>347</v>
      </c>
      <c r="E26" s="387" t="s">
        <v>443</v>
      </c>
      <c r="F26" s="396" t="s">
        <v>659</v>
      </c>
      <c r="G26" s="396">
        <f t="shared" si="2"/>
        <v>0.67979999999999996</v>
      </c>
      <c r="I26" s="203"/>
      <c r="J26" s="203"/>
    </row>
    <row r="27" spans="1:10" ht="31.2">
      <c r="A27" s="387" t="s">
        <v>663</v>
      </c>
      <c r="B27" s="387" t="s">
        <v>666</v>
      </c>
      <c r="C27" s="387" t="s">
        <v>649</v>
      </c>
      <c r="D27" s="387" t="s">
        <v>348</v>
      </c>
      <c r="E27" s="650">
        <v>1.4</v>
      </c>
      <c r="F27" s="389">
        <f>COTAÇÃO!F65</f>
        <v>89</v>
      </c>
      <c r="G27" s="648">
        <f t="shared" si="2"/>
        <v>124.6</v>
      </c>
      <c r="I27" s="203"/>
      <c r="J27" s="203"/>
    </row>
    <row r="28" spans="1:10" ht="46.8">
      <c r="A28" s="387" t="s">
        <v>510</v>
      </c>
      <c r="B28" s="387" t="s">
        <v>511</v>
      </c>
      <c r="C28" s="387" t="s">
        <v>341</v>
      </c>
      <c r="D28" s="387" t="s">
        <v>342</v>
      </c>
      <c r="E28" s="387" t="s">
        <v>512</v>
      </c>
      <c r="F28" s="396" t="s">
        <v>664</v>
      </c>
      <c r="G28" s="396">
        <f t="shared" si="2"/>
        <v>0.83191999999999999</v>
      </c>
    </row>
    <row r="29" spans="1:10" ht="46.8">
      <c r="A29" s="387" t="s">
        <v>513</v>
      </c>
      <c r="B29" s="387" t="s">
        <v>514</v>
      </c>
      <c r="C29" s="387" t="s">
        <v>343</v>
      </c>
      <c r="D29" s="387" t="s">
        <v>342</v>
      </c>
      <c r="E29" s="387" t="s">
        <v>515</v>
      </c>
      <c r="F29" s="396" t="s">
        <v>665</v>
      </c>
      <c r="G29" s="396">
        <f t="shared" si="2"/>
        <v>2.2950199999999996</v>
      </c>
    </row>
    <row r="30" spans="1:10" ht="15.6">
      <c r="A30" s="597"/>
      <c r="B30" s="598"/>
      <c r="C30" s="598"/>
      <c r="D30" s="598"/>
      <c r="E30" s="598"/>
      <c r="F30" s="598"/>
      <c r="G30" s="649">
        <f>TRUNC(SUM(G20:G29),2)</f>
        <v>138.69</v>
      </c>
    </row>
    <row r="31" spans="1:10" ht="15.6">
      <c r="A31" s="397"/>
      <c r="B31" s="397"/>
      <c r="C31" s="397"/>
      <c r="D31" s="397"/>
      <c r="E31" s="397"/>
      <c r="F31" s="397"/>
      <c r="G31" s="397"/>
    </row>
    <row r="32" spans="1:10" ht="15.6">
      <c r="A32" s="397"/>
      <c r="B32" s="397"/>
      <c r="C32" s="397"/>
      <c r="D32" s="397"/>
      <c r="E32" s="397"/>
      <c r="F32" s="397"/>
      <c r="G32" s="397"/>
    </row>
    <row r="33" spans="1:7" ht="15.6">
      <c r="A33" s="397"/>
      <c r="B33" s="397"/>
      <c r="C33" s="397"/>
      <c r="D33" s="397"/>
      <c r="E33" s="397"/>
      <c r="F33" s="397"/>
      <c r="G33" s="397"/>
    </row>
    <row r="34" spans="1:7" ht="15.6">
      <c r="A34" s="397"/>
      <c r="B34" s="397"/>
      <c r="C34" s="397"/>
      <c r="D34" s="397"/>
      <c r="E34" s="397"/>
      <c r="F34" s="397"/>
      <c r="G34" s="397"/>
    </row>
  </sheetData>
  <mergeCells count="8">
    <mergeCell ref="B1:G1"/>
    <mergeCell ref="A1:A3"/>
    <mergeCell ref="B5:G5"/>
    <mergeCell ref="B18:G18"/>
    <mergeCell ref="C2:D2"/>
    <mergeCell ref="C3:D3"/>
    <mergeCell ref="E2:F3"/>
    <mergeCell ref="G2:G3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50" orientation="portrait" r:id="rId1"/>
  <headerFooter>
    <oddFooter>&amp;CEng° Darcio Pagani Vieira
Crea/SC - 077.222-9</oddFooter>
  </headerFooter>
  <ignoredErrors>
    <ignoredError sqref="E7:G15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91"/>
  <sheetViews>
    <sheetView showGridLines="0" view="pageBreakPreview" zoomScaleNormal="100" zoomScaleSheetLayoutView="100" workbookViewId="0">
      <selection activeCell="D11" sqref="D11:E11"/>
    </sheetView>
  </sheetViews>
  <sheetFormatPr defaultRowHeight="14.4"/>
  <cols>
    <col min="1" max="1" width="11.44140625" customWidth="1"/>
    <col min="2" max="2" width="72.33203125" bestFit="1" customWidth="1"/>
    <col min="3" max="4" width="11.44140625" style="1" bestFit="1" customWidth="1"/>
    <col min="5" max="5" width="11.88671875" style="1" bestFit="1" customWidth="1"/>
    <col min="6" max="6" width="10.5546875" style="1" bestFit="1" customWidth="1"/>
    <col min="7" max="7" width="12" style="1" bestFit="1" customWidth="1"/>
    <col min="8" max="8" width="15.109375" customWidth="1"/>
  </cols>
  <sheetData>
    <row r="1" spans="1:8" s="265" customFormat="1">
      <c r="A1" s="265" t="s">
        <v>162</v>
      </c>
      <c r="C1" s="305" t="s">
        <v>164</v>
      </c>
      <c r="D1" s="305"/>
      <c r="E1" s="305"/>
      <c r="F1" s="305"/>
      <c r="G1" s="305"/>
      <c r="H1" s="231" t="s">
        <v>353</v>
      </c>
    </row>
    <row r="2" spans="1:8" s="265" customFormat="1">
      <c r="A2" s="265" t="s">
        <v>163</v>
      </c>
      <c r="C2" s="95">
        <v>44287</v>
      </c>
      <c r="D2" s="305"/>
      <c r="E2" s="306" t="s">
        <v>165</v>
      </c>
      <c r="F2" s="178">
        <v>1</v>
      </c>
      <c r="G2" s="267" t="s">
        <v>15</v>
      </c>
    </row>
    <row r="3" spans="1:8" s="265" customFormat="1">
      <c r="A3" s="6">
        <v>2003579</v>
      </c>
      <c r="B3" s="6" t="s">
        <v>430</v>
      </c>
      <c r="C3" s="305"/>
      <c r="D3" s="305"/>
      <c r="E3" s="305"/>
      <c r="F3" s="305"/>
      <c r="G3" s="305"/>
      <c r="H3" s="306" t="s">
        <v>166</v>
      </c>
    </row>
    <row r="4" spans="1:8" s="265" customFormat="1">
      <c r="A4" s="954" t="s">
        <v>148</v>
      </c>
      <c r="B4" s="954"/>
      <c r="C4" s="967" t="s">
        <v>4</v>
      </c>
      <c r="D4" s="969" t="s">
        <v>155</v>
      </c>
      <c r="E4" s="969"/>
      <c r="F4" s="969" t="s">
        <v>156</v>
      </c>
      <c r="G4" s="969"/>
      <c r="H4" s="967" t="s">
        <v>158</v>
      </c>
    </row>
    <row r="5" spans="1:8" s="265" customFormat="1">
      <c r="A5" s="955"/>
      <c r="B5" s="955"/>
      <c r="C5" s="968"/>
      <c r="D5" s="13" t="s">
        <v>151</v>
      </c>
      <c r="E5" s="13" t="s">
        <v>152</v>
      </c>
      <c r="F5" s="13" t="s">
        <v>153</v>
      </c>
      <c r="G5" s="13" t="s">
        <v>154</v>
      </c>
      <c r="H5" s="968"/>
    </row>
    <row r="6" spans="1:8" s="265" customFormat="1">
      <c r="A6" s="265" t="s">
        <v>431</v>
      </c>
      <c r="B6" s="265" t="s">
        <v>432</v>
      </c>
      <c r="C6" s="96">
        <v>1.6060000000000001E-2</v>
      </c>
      <c r="D6" s="177">
        <v>1</v>
      </c>
      <c r="E6" s="177">
        <v>0</v>
      </c>
      <c r="F6" s="308">
        <v>6.3029999999999999</v>
      </c>
      <c r="G6" s="308">
        <v>0.72219999999999995</v>
      </c>
      <c r="H6" s="92">
        <f>C6*D6*F6+E6*G6</f>
        <v>0.10122618000000001</v>
      </c>
    </row>
    <row r="7" spans="1:8" s="265" customFormat="1">
      <c r="C7" s="305"/>
      <c r="D7" s="305"/>
      <c r="E7" s="305"/>
      <c r="F7" s="305"/>
      <c r="G7" s="306" t="s">
        <v>171</v>
      </c>
      <c r="H7" s="94">
        <f>SUM(H6:H6)</f>
        <v>0.10122618000000001</v>
      </c>
    </row>
    <row r="8" spans="1:8" s="265" customFormat="1">
      <c r="A8" s="26" t="s">
        <v>157</v>
      </c>
      <c r="B8" s="26"/>
      <c r="C8" s="301" t="s">
        <v>4</v>
      </c>
      <c r="D8" s="301" t="s">
        <v>3</v>
      </c>
      <c r="E8" s="958" t="s">
        <v>156</v>
      </c>
      <c r="F8" s="958"/>
      <c r="G8" s="970" t="s">
        <v>158</v>
      </c>
      <c r="H8" s="970"/>
    </row>
    <row r="9" spans="1:8" s="265" customFormat="1">
      <c r="A9" s="265" t="s">
        <v>233</v>
      </c>
      <c r="B9" s="265" t="s">
        <v>234</v>
      </c>
      <c r="C9" s="96">
        <v>0.08</v>
      </c>
      <c r="D9" s="305" t="s">
        <v>161</v>
      </c>
      <c r="E9" s="962">
        <v>26.474499999999999</v>
      </c>
      <c r="F9" s="962"/>
      <c r="G9" s="963">
        <f>C9*E9</f>
        <v>2.1179600000000001</v>
      </c>
      <c r="H9" s="963"/>
    </row>
    <row r="10" spans="1:8" s="265" customFormat="1">
      <c r="A10" s="265" t="s">
        <v>159</v>
      </c>
      <c r="B10" s="265" t="s">
        <v>160</v>
      </c>
      <c r="C10" s="96">
        <v>1.19245</v>
      </c>
      <c r="D10" s="305" t="s">
        <v>161</v>
      </c>
      <c r="E10" s="962">
        <v>21.135400000000001</v>
      </c>
      <c r="F10" s="962"/>
      <c r="G10" s="986">
        <f>C10*E10</f>
        <v>25.20290773</v>
      </c>
      <c r="H10" s="986"/>
    </row>
    <row r="11" spans="1:8" s="265" customFormat="1">
      <c r="C11" s="305"/>
      <c r="D11" s="305"/>
      <c r="E11" s="305"/>
      <c r="F11" s="306" t="s">
        <v>169</v>
      </c>
      <c r="G11" s="986">
        <f>SUM(G9:H10)</f>
        <v>27.32086773</v>
      </c>
      <c r="H11" s="986"/>
    </row>
    <row r="12" spans="1:8" s="265" customFormat="1">
      <c r="A12" s="11"/>
      <c r="B12" s="11"/>
      <c r="C12" s="13"/>
      <c r="D12" s="13"/>
      <c r="E12" s="13"/>
      <c r="F12" s="303" t="s">
        <v>170</v>
      </c>
      <c r="G12" s="972">
        <f>G11+H7</f>
        <v>27.422093910000001</v>
      </c>
      <c r="H12" s="973"/>
    </row>
    <row r="13" spans="1:8" s="265" customFormat="1">
      <c r="C13" s="305"/>
      <c r="D13" s="305"/>
      <c r="E13" s="305"/>
      <c r="F13" s="306" t="s">
        <v>180</v>
      </c>
      <c r="G13" s="310"/>
      <c r="H13" s="309">
        <f>G12/F2</f>
        <v>27.422093910000001</v>
      </c>
    </row>
    <row r="14" spans="1:8" s="265" customFormat="1">
      <c r="C14" s="305"/>
      <c r="D14" s="305"/>
      <c r="E14" s="305"/>
      <c r="F14" s="306" t="s">
        <v>184</v>
      </c>
      <c r="G14" s="310"/>
      <c r="H14" s="309"/>
    </row>
    <row r="15" spans="1:8" s="265" customFormat="1">
      <c r="A15" s="26" t="s">
        <v>167</v>
      </c>
      <c r="B15" s="26"/>
      <c r="C15" s="301" t="s">
        <v>4</v>
      </c>
      <c r="D15" s="301" t="s">
        <v>3</v>
      </c>
      <c r="E15" s="958" t="s">
        <v>265</v>
      </c>
      <c r="F15" s="958"/>
      <c r="G15" s="970" t="s">
        <v>158</v>
      </c>
      <c r="H15" s="970"/>
    </row>
    <row r="16" spans="1:8" s="222" customFormat="1">
      <c r="A16" s="222" t="s">
        <v>367</v>
      </c>
      <c r="B16" s="222" t="s">
        <v>370</v>
      </c>
      <c r="C16" s="220">
        <v>0.29607</v>
      </c>
      <c r="D16" s="224" t="s">
        <v>14</v>
      </c>
      <c r="E16" s="964" t="e">
        <f>#REF!</f>
        <v>#REF!</v>
      </c>
      <c r="F16" s="964"/>
      <c r="G16" s="965" t="e">
        <f>C16*E16</f>
        <v>#REF!</v>
      </c>
      <c r="H16" s="965"/>
    </row>
    <row r="17" spans="1:8" s="222" customFormat="1">
      <c r="A17" s="222" t="s">
        <v>433</v>
      </c>
      <c r="B17" s="222" t="s">
        <v>436</v>
      </c>
      <c r="C17" s="220">
        <v>0.29608000000000001</v>
      </c>
      <c r="D17" s="224" t="s">
        <v>14</v>
      </c>
      <c r="E17" s="964" t="e">
        <f>#REF!</f>
        <v>#REF!</v>
      </c>
      <c r="F17" s="964"/>
      <c r="G17" s="965" t="e">
        <f>C17*E17</f>
        <v>#REF!</v>
      </c>
      <c r="H17" s="965"/>
    </row>
    <row r="18" spans="1:8" s="222" customFormat="1">
      <c r="A18" s="222" t="s">
        <v>434</v>
      </c>
      <c r="B18" s="222" t="s">
        <v>438</v>
      </c>
      <c r="C18" s="220">
        <v>4.0999999999999996</v>
      </c>
      <c r="D18" s="224" t="s">
        <v>17</v>
      </c>
      <c r="E18" s="964" t="e">
        <f>#REF!</f>
        <v>#REF!</v>
      </c>
      <c r="F18" s="964"/>
      <c r="G18" s="965" t="e">
        <f t="shared" ref="G18:G19" si="0">C18*E18</f>
        <v>#REF!</v>
      </c>
      <c r="H18" s="965"/>
    </row>
    <row r="19" spans="1:8" s="222" customFormat="1">
      <c r="A19" s="222" t="s">
        <v>435</v>
      </c>
      <c r="B19" s="222" t="s">
        <v>437</v>
      </c>
      <c r="C19" s="220">
        <v>1</v>
      </c>
      <c r="D19" s="224" t="s">
        <v>15</v>
      </c>
      <c r="E19" s="964" t="e">
        <f>#REF!</f>
        <v>#REF!</v>
      </c>
      <c r="F19" s="964"/>
      <c r="G19" s="965" t="e">
        <f t="shared" si="0"/>
        <v>#REF!</v>
      </c>
      <c r="H19" s="965"/>
    </row>
    <row r="20" spans="1:8" s="265" customFormat="1">
      <c r="A20" s="11"/>
      <c r="B20" s="11"/>
      <c r="C20" s="13"/>
      <c r="D20" s="13"/>
      <c r="E20" s="13"/>
      <c r="F20" s="303" t="s">
        <v>168</v>
      </c>
      <c r="G20" s="971" t="e">
        <f>SUM(G16:H19)</f>
        <v>#REF!</v>
      </c>
      <c r="H20" s="971"/>
    </row>
    <row r="21" spans="1:8" s="265" customFormat="1">
      <c r="C21" s="305"/>
      <c r="D21" s="305"/>
      <c r="E21" s="305"/>
      <c r="F21" s="305"/>
      <c r="G21" s="305" t="s">
        <v>179</v>
      </c>
      <c r="H21" s="94" t="e">
        <f>SUM(G20)</f>
        <v>#REF!</v>
      </c>
    </row>
    <row r="22" spans="1:8" s="265" customFormat="1">
      <c r="A22" s="26" t="s">
        <v>172</v>
      </c>
      <c r="B22" s="26"/>
      <c r="C22" s="301" t="s">
        <v>4</v>
      </c>
      <c r="D22" s="301" t="s">
        <v>3</v>
      </c>
      <c r="E22" s="958" t="s">
        <v>156</v>
      </c>
      <c r="F22" s="958"/>
      <c r="G22" s="970" t="s">
        <v>158</v>
      </c>
      <c r="H22" s="970"/>
    </row>
    <row r="23" spans="1:8" s="265" customFormat="1">
      <c r="A23" s="315">
        <v>4805757</v>
      </c>
      <c r="B23" s="11" t="s">
        <v>439</v>
      </c>
      <c r="C23" s="13">
        <v>0.6</v>
      </c>
      <c r="D23" s="13" t="s">
        <v>14</v>
      </c>
      <c r="E23" s="958">
        <v>4.76</v>
      </c>
      <c r="F23" s="958"/>
      <c r="G23" s="303"/>
      <c r="H23" s="302">
        <f>C23*E23</f>
        <v>2.8559999999999999</v>
      </c>
    </row>
    <row r="24" spans="1:8" s="265" customFormat="1">
      <c r="A24" s="11"/>
      <c r="B24" s="11"/>
      <c r="C24" s="13"/>
      <c r="D24" s="13"/>
      <c r="E24" s="13"/>
      <c r="F24" s="303" t="s">
        <v>272</v>
      </c>
      <c r="G24" s="971"/>
      <c r="H24" s="971"/>
    </row>
    <row r="25" spans="1:8" s="265" customFormat="1">
      <c r="A25" s="11"/>
      <c r="B25" s="11"/>
      <c r="C25" s="13"/>
      <c r="D25" s="13"/>
      <c r="E25" s="13"/>
      <c r="F25" s="303" t="s">
        <v>273</v>
      </c>
      <c r="G25" s="972" t="e">
        <f>G24+H14+H13+H21+H23</f>
        <v>#REF!</v>
      </c>
      <c r="H25" s="973"/>
    </row>
    <row r="26" spans="1:8" s="265" customFormat="1">
      <c r="C26" s="305"/>
      <c r="D26" s="305"/>
      <c r="E26" s="305"/>
      <c r="F26" s="306"/>
      <c r="G26" s="310"/>
      <c r="H26" s="309"/>
    </row>
    <row r="27" spans="1:8" s="265" customFormat="1">
      <c r="A27" s="26" t="s">
        <v>174</v>
      </c>
      <c r="B27" s="26"/>
      <c r="C27" s="301" t="s">
        <v>175</v>
      </c>
      <c r="D27" s="301" t="s">
        <v>4</v>
      </c>
      <c r="E27" s="301" t="s">
        <v>3</v>
      </c>
      <c r="F27" s="958" t="s">
        <v>176</v>
      </c>
      <c r="G27" s="958"/>
      <c r="H27" s="304" t="s">
        <v>176</v>
      </c>
    </row>
    <row r="28" spans="1:8" s="265" customFormat="1">
      <c r="A28" s="99" t="s">
        <v>367</v>
      </c>
      <c r="B28" s="102" t="s">
        <v>373</v>
      </c>
      <c r="C28" s="307">
        <v>5914647</v>
      </c>
      <c r="D28" s="180">
        <v>0.44411</v>
      </c>
      <c r="E28" s="307" t="s">
        <v>147</v>
      </c>
      <c r="F28" s="966">
        <v>1.1000000000000001</v>
      </c>
      <c r="G28" s="966"/>
      <c r="H28" s="103">
        <f>D28*F28</f>
        <v>0.48852100000000004</v>
      </c>
    </row>
    <row r="29" spans="1:8" s="265" customFormat="1">
      <c r="A29" s="99" t="s">
        <v>433</v>
      </c>
      <c r="B29" s="102" t="s">
        <v>440</v>
      </c>
      <c r="C29" s="307">
        <v>5914647</v>
      </c>
      <c r="D29" s="180">
        <v>0.44412000000000001</v>
      </c>
      <c r="E29" s="307" t="s">
        <v>147</v>
      </c>
      <c r="F29" s="966">
        <v>1.1000000000000001</v>
      </c>
      <c r="G29" s="966"/>
      <c r="H29" s="103">
        <f>D29*F29</f>
        <v>0.48853200000000008</v>
      </c>
    </row>
    <row r="30" spans="1:8" s="265" customFormat="1" ht="28.8">
      <c r="A30" s="99" t="s">
        <v>434</v>
      </c>
      <c r="B30" s="102" t="s">
        <v>441</v>
      </c>
      <c r="C30" s="307">
        <v>5914655</v>
      </c>
      <c r="D30" s="180">
        <v>1.0300000000000001E-3</v>
      </c>
      <c r="E30" s="307" t="s">
        <v>147</v>
      </c>
      <c r="F30" s="966">
        <v>26.19</v>
      </c>
      <c r="G30" s="966"/>
      <c r="H30" s="103">
        <f>D30*F30</f>
        <v>2.6975700000000005E-2</v>
      </c>
    </row>
    <row r="31" spans="1:8" s="265" customFormat="1" ht="28.8">
      <c r="A31" s="99" t="s">
        <v>435</v>
      </c>
      <c r="B31" s="102" t="s">
        <v>442</v>
      </c>
      <c r="C31" s="307">
        <v>5914655</v>
      </c>
      <c r="D31" s="180">
        <v>2.521E-2</v>
      </c>
      <c r="E31" s="307" t="s">
        <v>147</v>
      </c>
      <c r="F31" s="966">
        <v>26.19</v>
      </c>
      <c r="G31" s="966"/>
      <c r="H31" s="103">
        <f>D31*F31</f>
        <v>0.66024990000000006</v>
      </c>
    </row>
    <row r="32" spans="1:8" s="265" customFormat="1">
      <c r="C32" s="305"/>
      <c r="D32" s="305"/>
      <c r="E32" s="305"/>
      <c r="F32" s="305"/>
      <c r="G32" s="306" t="s">
        <v>177</v>
      </c>
      <c r="H32" s="92">
        <f>SUM(H28:H31)</f>
        <v>1.6642786000000003</v>
      </c>
    </row>
    <row r="33" spans="1:8" s="265" customFormat="1">
      <c r="A33" s="954" t="s">
        <v>257</v>
      </c>
      <c r="B33" s="954"/>
      <c r="C33" s="956" t="s">
        <v>4</v>
      </c>
      <c r="D33" s="956" t="s">
        <v>3</v>
      </c>
      <c r="E33" s="958" t="s">
        <v>258</v>
      </c>
      <c r="F33" s="958"/>
      <c r="G33" s="958"/>
      <c r="H33" s="959" t="s">
        <v>176</v>
      </c>
    </row>
    <row r="34" spans="1:8" s="265" customFormat="1">
      <c r="A34" s="955"/>
      <c r="B34" s="955"/>
      <c r="C34" s="957"/>
      <c r="D34" s="957"/>
      <c r="E34" s="13" t="s">
        <v>259</v>
      </c>
      <c r="F34" s="13" t="s">
        <v>260</v>
      </c>
      <c r="G34" s="13" t="s">
        <v>261</v>
      </c>
      <c r="H34" s="960"/>
    </row>
    <row r="35" spans="1:8" s="265" customFormat="1">
      <c r="A35" s="8"/>
      <c r="B35" s="8"/>
      <c r="C35" s="96"/>
      <c r="D35" s="305"/>
      <c r="E35" s="961"/>
      <c r="F35" s="961"/>
      <c r="G35" s="177"/>
      <c r="H35" s="182"/>
    </row>
    <row r="36" spans="1:8" s="265" customFormat="1">
      <c r="A36" s="11"/>
      <c r="B36" s="11"/>
      <c r="C36" s="13"/>
      <c r="D36" s="13"/>
      <c r="E36" s="13"/>
      <c r="F36" s="13"/>
      <c r="G36" s="303" t="s">
        <v>263</v>
      </c>
      <c r="H36" s="183">
        <f>SUM(H35:H35)</f>
        <v>0</v>
      </c>
    </row>
    <row r="37" spans="1:8" s="265" customFormat="1">
      <c r="A37" s="11"/>
      <c r="B37" s="11"/>
      <c r="C37" s="13"/>
      <c r="D37" s="13"/>
      <c r="E37" s="13"/>
      <c r="F37" s="13"/>
      <c r="G37" s="303" t="s">
        <v>178</v>
      </c>
      <c r="H37" s="187" t="e">
        <f>H32+G25+H36</f>
        <v>#REF!</v>
      </c>
    </row>
    <row r="38" spans="1:8" s="265" customFormat="1">
      <c r="A38" s="8"/>
      <c r="B38" s="8"/>
      <c r="C38" s="9"/>
      <c r="D38" s="9"/>
      <c r="E38" s="9"/>
      <c r="F38" s="9"/>
      <c r="G38" s="32"/>
      <c r="H38" s="223"/>
    </row>
    <row r="39" spans="1:8" s="265" customFormat="1">
      <c r="A39" s="8"/>
      <c r="B39" s="8"/>
      <c r="C39" s="9"/>
      <c r="D39" s="9"/>
      <c r="E39" s="9"/>
      <c r="F39" s="9"/>
      <c r="G39" s="32"/>
      <c r="H39" s="223"/>
    </row>
    <row r="40" spans="1:8" s="265" customFormat="1">
      <c r="A40" s="8"/>
      <c r="B40" s="8"/>
      <c r="C40" s="9"/>
      <c r="D40" s="9"/>
      <c r="E40" s="9"/>
      <c r="F40" s="9"/>
      <c r="G40" s="32"/>
      <c r="H40" s="223"/>
    </row>
    <row r="41" spans="1:8">
      <c r="A41" t="s">
        <v>162</v>
      </c>
      <c r="C41" s="211" t="s">
        <v>164</v>
      </c>
      <c r="D41" s="211"/>
      <c r="E41" s="211"/>
      <c r="F41" s="211"/>
      <c r="G41" s="211"/>
      <c r="H41" s="231" t="s">
        <v>355</v>
      </c>
    </row>
    <row r="42" spans="1:8">
      <c r="A42" t="s">
        <v>163</v>
      </c>
      <c r="C42" s="95">
        <v>44287</v>
      </c>
      <c r="D42" s="211"/>
      <c r="E42" s="215" t="s">
        <v>165</v>
      </c>
      <c r="F42" s="178">
        <v>84.62</v>
      </c>
      <c r="G42" s="17" t="s">
        <v>14</v>
      </c>
    </row>
    <row r="43" spans="1:8">
      <c r="A43" s="6">
        <v>4011282</v>
      </c>
      <c r="B43" s="6" t="s">
        <v>356</v>
      </c>
      <c r="C43" s="211"/>
      <c r="D43" s="211"/>
      <c r="E43" s="211"/>
      <c r="F43" s="211"/>
      <c r="G43" s="211"/>
      <c r="H43" s="215" t="s">
        <v>166</v>
      </c>
    </row>
    <row r="44" spans="1:8">
      <c r="A44" s="954" t="s">
        <v>148</v>
      </c>
      <c r="B44" s="954"/>
      <c r="C44" s="967" t="s">
        <v>4</v>
      </c>
      <c r="D44" s="969" t="s">
        <v>155</v>
      </c>
      <c r="E44" s="969"/>
      <c r="F44" s="969" t="s">
        <v>156</v>
      </c>
      <c r="G44" s="969"/>
      <c r="H44" s="967" t="s">
        <v>158</v>
      </c>
    </row>
    <row r="45" spans="1:8">
      <c r="A45" s="955"/>
      <c r="B45" s="955"/>
      <c r="C45" s="968"/>
      <c r="D45" s="13" t="s">
        <v>151</v>
      </c>
      <c r="E45" s="13" t="s">
        <v>152</v>
      </c>
      <c r="F45" s="13" t="s">
        <v>153</v>
      </c>
      <c r="G45" s="13" t="s">
        <v>154</v>
      </c>
      <c r="H45" s="968"/>
    </row>
    <row r="46" spans="1:8">
      <c r="A46" t="s">
        <v>270</v>
      </c>
      <c r="B46" t="s">
        <v>271</v>
      </c>
      <c r="C46" s="96">
        <v>1</v>
      </c>
      <c r="D46" s="177">
        <v>0.76</v>
      </c>
      <c r="E46" s="177">
        <v>0.24</v>
      </c>
      <c r="F46" s="210">
        <v>226.63300000000001</v>
      </c>
      <c r="G46" s="210">
        <v>60.494799999999998</v>
      </c>
      <c r="H46" s="92">
        <f>C46*D46*F46+E46*G46</f>
        <v>186.75983200000002</v>
      </c>
    </row>
    <row r="47" spans="1:8">
      <c r="A47" t="s">
        <v>181</v>
      </c>
      <c r="B47" t="s">
        <v>201</v>
      </c>
      <c r="C47" s="96">
        <v>1</v>
      </c>
      <c r="D47" s="177">
        <v>0.88</v>
      </c>
      <c r="E47" s="177">
        <v>0.12</v>
      </c>
      <c r="F47" s="308">
        <v>151.4177</v>
      </c>
      <c r="G47" s="308">
        <v>72.008300000000006</v>
      </c>
      <c r="H47" s="92">
        <f>C47*D47*F47+E47*G47</f>
        <v>141.88857200000001</v>
      </c>
    </row>
    <row r="48" spans="1:8">
      <c r="A48" t="s">
        <v>182</v>
      </c>
      <c r="B48" t="s">
        <v>266</v>
      </c>
      <c r="C48" s="96">
        <v>1</v>
      </c>
      <c r="D48" s="177">
        <v>0.71</v>
      </c>
      <c r="E48" s="177">
        <v>0.28999999999999998</v>
      </c>
      <c r="F48" s="308">
        <v>146.9331</v>
      </c>
      <c r="G48" s="308">
        <v>60.789700000000003</v>
      </c>
      <c r="H48" s="92">
        <f>C48*D48*F48+E48*G48</f>
        <v>121.95151399999999</v>
      </c>
    </row>
    <row r="49" spans="1:8">
      <c r="C49" s="211"/>
      <c r="D49" s="211"/>
      <c r="E49" s="211"/>
      <c r="F49" s="211"/>
      <c r="G49" s="215" t="s">
        <v>171</v>
      </c>
      <c r="H49" s="94">
        <f>SUM(H46:H48)</f>
        <v>450.599918</v>
      </c>
    </row>
    <row r="50" spans="1:8">
      <c r="A50" s="26" t="s">
        <v>157</v>
      </c>
      <c r="B50" s="26"/>
      <c r="C50" s="213" t="s">
        <v>4</v>
      </c>
      <c r="D50" s="213" t="s">
        <v>3</v>
      </c>
      <c r="E50" s="958" t="s">
        <v>156</v>
      </c>
      <c r="F50" s="958"/>
      <c r="G50" s="970" t="s">
        <v>158</v>
      </c>
      <c r="H50" s="970"/>
    </row>
    <row r="51" spans="1:8">
      <c r="A51" t="s">
        <v>159</v>
      </c>
      <c r="B51" t="s">
        <v>160</v>
      </c>
      <c r="C51" s="96">
        <v>1</v>
      </c>
      <c r="D51" s="211" t="s">
        <v>161</v>
      </c>
      <c r="E51" s="962">
        <v>21.135400000000001</v>
      </c>
      <c r="F51" s="962"/>
      <c r="G51" s="963">
        <f>C51*E51</f>
        <v>21.135400000000001</v>
      </c>
      <c r="H51" s="963"/>
    </row>
    <row r="52" spans="1:8">
      <c r="C52" s="211"/>
      <c r="D52" s="211"/>
      <c r="E52" s="211"/>
      <c r="F52" s="215" t="s">
        <v>169</v>
      </c>
      <c r="G52" s="963">
        <f>SUM(G51)</f>
        <v>21.135400000000001</v>
      </c>
      <c r="H52" s="963"/>
    </row>
    <row r="53" spans="1:8">
      <c r="A53" s="11"/>
      <c r="B53" s="11"/>
      <c r="C53" s="13"/>
      <c r="D53" s="13"/>
      <c r="E53" s="13"/>
      <c r="F53" s="216" t="s">
        <v>170</v>
      </c>
      <c r="G53" s="972">
        <f>G52+H49</f>
        <v>471.73531800000001</v>
      </c>
      <c r="H53" s="973"/>
    </row>
    <row r="54" spans="1:8">
      <c r="C54" s="211"/>
      <c r="D54" s="211"/>
      <c r="E54" s="211"/>
      <c r="F54" s="215" t="s">
        <v>180</v>
      </c>
      <c r="G54" s="217"/>
      <c r="H54" s="212">
        <f>G53/F42</f>
        <v>5.5747496809264945</v>
      </c>
    </row>
    <row r="55" spans="1:8">
      <c r="C55" s="211"/>
      <c r="D55" s="211"/>
      <c r="E55" s="211"/>
      <c r="F55" s="215" t="s">
        <v>184</v>
      </c>
      <c r="G55" s="217"/>
      <c r="H55" s="212">
        <v>8.2699999999999996E-2</v>
      </c>
    </row>
    <row r="56" spans="1:8">
      <c r="A56" s="26" t="s">
        <v>167</v>
      </c>
      <c r="B56" s="26"/>
      <c r="C56" s="213" t="s">
        <v>4</v>
      </c>
      <c r="D56" s="213" t="s">
        <v>3</v>
      </c>
      <c r="E56" s="958" t="s">
        <v>265</v>
      </c>
      <c r="F56" s="958"/>
      <c r="G56" s="970" t="s">
        <v>158</v>
      </c>
      <c r="H56" s="970"/>
    </row>
    <row r="57" spans="1:8" s="222" customFormat="1">
      <c r="A57" s="222" t="s">
        <v>357</v>
      </c>
      <c r="B57" s="222" t="s">
        <v>359</v>
      </c>
      <c r="C57" s="220">
        <v>1.26</v>
      </c>
      <c r="D57" s="224" t="s">
        <v>14</v>
      </c>
      <c r="E57" s="964" t="e">
        <f>#REF!</f>
        <v>#REF!</v>
      </c>
      <c r="F57" s="964"/>
      <c r="G57" s="965" t="e">
        <f>C57*E57</f>
        <v>#REF!</v>
      </c>
      <c r="H57" s="965"/>
    </row>
    <row r="58" spans="1:8" s="222" customFormat="1">
      <c r="A58" s="222" t="s">
        <v>358</v>
      </c>
      <c r="B58" s="222" t="s">
        <v>360</v>
      </c>
      <c r="C58" s="220">
        <v>0.14000000000000001</v>
      </c>
      <c r="D58" s="224" t="s">
        <v>14</v>
      </c>
      <c r="E58" s="964" t="e">
        <f>#REF!</f>
        <v>#REF!</v>
      </c>
      <c r="F58" s="964"/>
      <c r="G58" s="965" t="e">
        <f>C58*E58</f>
        <v>#REF!</v>
      </c>
      <c r="H58" s="965"/>
    </row>
    <row r="59" spans="1:8">
      <c r="A59" s="11"/>
      <c r="B59" s="11"/>
      <c r="C59" s="13"/>
      <c r="D59" s="13"/>
      <c r="E59" s="13"/>
      <c r="F59" s="216" t="s">
        <v>168</v>
      </c>
      <c r="G59" s="971" t="e">
        <f>SUM(G57:H58)</f>
        <v>#REF!</v>
      </c>
      <c r="H59" s="971"/>
    </row>
    <row r="60" spans="1:8">
      <c r="C60" s="211"/>
      <c r="D60" s="211"/>
      <c r="E60" s="211"/>
      <c r="F60" s="211"/>
      <c r="G60" s="211" t="s">
        <v>179</v>
      </c>
      <c r="H60" s="94" t="e">
        <f>SUM(G59)</f>
        <v>#REF!</v>
      </c>
    </row>
    <row r="61" spans="1:8">
      <c r="A61" s="26" t="s">
        <v>172</v>
      </c>
      <c r="B61" s="26"/>
      <c r="C61" s="213" t="s">
        <v>4</v>
      </c>
      <c r="D61" s="213" t="s">
        <v>3</v>
      </c>
      <c r="E61" s="958" t="s">
        <v>156</v>
      </c>
      <c r="F61" s="958"/>
      <c r="G61" s="970" t="s">
        <v>158</v>
      </c>
      <c r="H61" s="970"/>
    </row>
    <row r="62" spans="1:8">
      <c r="A62" s="11"/>
      <c r="B62" s="11"/>
      <c r="C62" s="13"/>
      <c r="D62" s="13"/>
      <c r="E62" s="13"/>
      <c r="F62" s="216" t="s">
        <v>272</v>
      </c>
      <c r="G62" s="971"/>
      <c r="H62" s="971"/>
    </row>
    <row r="63" spans="1:8">
      <c r="A63" s="11"/>
      <c r="B63" s="11"/>
      <c r="C63" s="13"/>
      <c r="D63" s="13"/>
      <c r="E63" s="13"/>
      <c r="F63" s="216" t="s">
        <v>273</v>
      </c>
      <c r="G63" s="972" t="e">
        <f>G62+H55+H54+H60</f>
        <v>#REF!</v>
      </c>
      <c r="H63" s="973"/>
    </row>
    <row r="64" spans="1:8">
      <c r="C64" s="211"/>
      <c r="D64" s="211"/>
      <c r="E64" s="211"/>
      <c r="F64" s="215"/>
      <c r="G64" s="217"/>
      <c r="H64" s="212"/>
    </row>
    <row r="65" spans="1:8">
      <c r="A65" s="26" t="s">
        <v>174</v>
      </c>
      <c r="B65" s="26"/>
      <c r="C65" s="213" t="s">
        <v>175</v>
      </c>
      <c r="D65" s="213" t="s">
        <v>4</v>
      </c>
      <c r="E65" s="213" t="s">
        <v>3</v>
      </c>
      <c r="F65" s="958" t="s">
        <v>176</v>
      </c>
      <c r="G65" s="958"/>
      <c r="H65" s="218" t="s">
        <v>176</v>
      </c>
    </row>
    <row r="66" spans="1:8">
      <c r="A66" s="99" t="s">
        <v>357</v>
      </c>
      <c r="B66" s="102" t="s">
        <v>361</v>
      </c>
      <c r="C66" s="214">
        <v>5914651</v>
      </c>
      <c r="D66" s="180">
        <v>1.89</v>
      </c>
      <c r="E66" s="214" t="s">
        <v>147</v>
      </c>
      <c r="F66" s="966">
        <v>1.58</v>
      </c>
      <c r="G66" s="966"/>
      <c r="H66" s="103">
        <f>D66*F66</f>
        <v>2.9862000000000002</v>
      </c>
    </row>
    <row r="67" spans="1:8">
      <c r="A67" s="99" t="s">
        <v>358</v>
      </c>
      <c r="B67" s="102" t="s">
        <v>362</v>
      </c>
      <c r="C67" s="214">
        <v>5914651</v>
      </c>
      <c r="D67" s="180">
        <v>0.21</v>
      </c>
      <c r="E67" s="214" t="s">
        <v>147</v>
      </c>
      <c r="F67" s="966">
        <v>1.58</v>
      </c>
      <c r="G67" s="966"/>
      <c r="H67" s="103">
        <f>D67*F67</f>
        <v>0.33179999999999998</v>
      </c>
    </row>
    <row r="68" spans="1:8">
      <c r="C68" s="211"/>
      <c r="D68" s="211"/>
      <c r="E68" s="211"/>
      <c r="F68" s="211"/>
      <c r="G68" s="215" t="s">
        <v>177</v>
      </c>
      <c r="H68" s="92">
        <f>SUM(H66:H67)</f>
        <v>3.3180000000000001</v>
      </c>
    </row>
    <row r="69" spans="1:8">
      <c r="A69" s="954" t="s">
        <v>257</v>
      </c>
      <c r="B69" s="954"/>
      <c r="C69" s="956" t="s">
        <v>4</v>
      </c>
      <c r="D69" s="956" t="s">
        <v>3</v>
      </c>
      <c r="E69" s="958" t="s">
        <v>258</v>
      </c>
      <c r="F69" s="958"/>
      <c r="G69" s="958"/>
      <c r="H69" s="959" t="s">
        <v>176</v>
      </c>
    </row>
    <row r="70" spans="1:8">
      <c r="A70" s="955"/>
      <c r="B70" s="955"/>
      <c r="C70" s="957"/>
      <c r="D70" s="957"/>
      <c r="E70" s="13" t="s">
        <v>259</v>
      </c>
      <c r="F70" s="13" t="s">
        <v>260</v>
      </c>
      <c r="G70" s="13" t="s">
        <v>261</v>
      </c>
      <c r="H70" s="960"/>
    </row>
    <row r="71" spans="1:8">
      <c r="A71" s="8"/>
      <c r="B71" s="8"/>
      <c r="C71" s="96"/>
      <c r="D71" s="211"/>
      <c r="E71" s="961"/>
      <c r="F71" s="961"/>
      <c r="G71" s="177"/>
      <c r="H71" s="182"/>
    </row>
    <row r="72" spans="1:8">
      <c r="A72" s="11"/>
      <c r="B72" s="11"/>
      <c r="C72" s="13"/>
      <c r="D72" s="13"/>
      <c r="E72" s="13"/>
      <c r="F72" s="13"/>
      <c r="G72" s="216" t="s">
        <v>263</v>
      </c>
      <c r="H72" s="183">
        <f>SUM(H71:H71)</f>
        <v>0</v>
      </c>
    </row>
    <row r="73" spans="1:8">
      <c r="A73" s="11"/>
      <c r="B73" s="11"/>
      <c r="C73" s="13"/>
      <c r="D73" s="13"/>
      <c r="E73" s="13"/>
      <c r="F73" s="13"/>
      <c r="G73" s="216" t="s">
        <v>178</v>
      </c>
      <c r="H73" s="187" t="e">
        <f>H68+G63+H72</f>
        <v>#REF!</v>
      </c>
    </row>
    <row r="74" spans="1:8">
      <c r="A74" s="8"/>
      <c r="B74" s="8"/>
      <c r="C74" s="9"/>
      <c r="D74" s="9"/>
      <c r="E74" s="9"/>
      <c r="F74" s="9"/>
      <c r="G74" s="32"/>
      <c r="H74" s="223"/>
    </row>
    <row r="75" spans="1:8">
      <c r="A75" s="8"/>
      <c r="B75" s="8"/>
      <c r="C75" s="9"/>
      <c r="D75" s="9"/>
      <c r="E75" s="9"/>
      <c r="F75" s="9"/>
      <c r="G75" s="32"/>
      <c r="H75" s="223"/>
    </row>
    <row r="76" spans="1:8">
      <c r="A76" s="8"/>
      <c r="B76" s="8"/>
      <c r="C76" s="9"/>
      <c r="D76" s="9"/>
      <c r="E76" s="9"/>
      <c r="F76" s="9"/>
      <c r="G76" s="32"/>
      <c r="H76" s="223"/>
    </row>
    <row r="77" spans="1:8">
      <c r="A77" s="8"/>
      <c r="B77" s="8"/>
      <c r="C77" s="9"/>
      <c r="D77" s="9"/>
      <c r="E77" s="9"/>
      <c r="F77" s="9"/>
      <c r="G77" s="32"/>
      <c r="H77" s="223"/>
    </row>
    <row r="78" spans="1:8">
      <c r="A78" s="8"/>
      <c r="B78" s="8"/>
      <c r="C78" s="9"/>
      <c r="D78" s="9"/>
      <c r="E78" s="9"/>
      <c r="F78" s="9"/>
      <c r="G78" s="32"/>
      <c r="H78" s="223"/>
    </row>
    <row r="79" spans="1:8">
      <c r="A79" s="8"/>
      <c r="B79" s="8"/>
      <c r="C79" s="9"/>
      <c r="D79" s="9"/>
      <c r="E79" s="9"/>
      <c r="F79" s="9"/>
      <c r="G79" s="32"/>
      <c r="H79" s="223"/>
    </row>
    <row r="80" spans="1:8">
      <c r="A80" s="8"/>
      <c r="B80" s="8"/>
      <c r="C80" s="9"/>
      <c r="D80" s="9"/>
      <c r="E80" s="9"/>
      <c r="F80" s="9"/>
      <c r="G80" s="32"/>
      <c r="H80" s="223"/>
    </row>
    <row r="81" spans="1:8">
      <c r="A81" t="s">
        <v>162</v>
      </c>
      <c r="C81" s="191" t="s">
        <v>164</v>
      </c>
      <c r="D81" s="191"/>
      <c r="E81" s="191"/>
      <c r="F81" s="191"/>
      <c r="G81" s="191"/>
      <c r="H81" s="231" t="s">
        <v>380</v>
      </c>
    </row>
    <row r="82" spans="1:8">
      <c r="A82" t="s">
        <v>163</v>
      </c>
      <c r="C82" s="95">
        <v>44287</v>
      </c>
      <c r="D82" s="191"/>
      <c r="E82" s="194" t="s">
        <v>165</v>
      </c>
      <c r="F82" s="178">
        <v>113.18</v>
      </c>
      <c r="G82" s="17" t="s">
        <v>14</v>
      </c>
    </row>
    <row r="83" spans="1:8">
      <c r="A83" s="6">
        <v>4011276</v>
      </c>
      <c r="B83" s="6" t="s">
        <v>237</v>
      </c>
      <c r="C83" s="191"/>
      <c r="D83" s="191"/>
      <c r="E83" s="191"/>
      <c r="F83" s="191"/>
      <c r="G83" s="191"/>
      <c r="H83" s="194" t="s">
        <v>166</v>
      </c>
    </row>
    <row r="84" spans="1:8">
      <c r="A84" s="954" t="s">
        <v>148</v>
      </c>
      <c r="B84" s="954"/>
      <c r="C84" s="967" t="s">
        <v>4</v>
      </c>
      <c r="D84" s="969" t="s">
        <v>155</v>
      </c>
      <c r="E84" s="969"/>
      <c r="F84" s="969" t="s">
        <v>156</v>
      </c>
      <c r="G84" s="969"/>
      <c r="H84" s="967" t="s">
        <v>158</v>
      </c>
    </row>
    <row r="85" spans="1:8">
      <c r="A85" s="955"/>
      <c r="B85" s="955"/>
      <c r="C85" s="968"/>
      <c r="D85" s="13" t="s">
        <v>151</v>
      </c>
      <c r="E85" s="13" t="s">
        <v>152</v>
      </c>
      <c r="F85" s="13" t="s">
        <v>153</v>
      </c>
      <c r="G85" s="13" t="s">
        <v>154</v>
      </c>
      <c r="H85" s="968"/>
    </row>
    <row r="86" spans="1:8">
      <c r="A86" t="s">
        <v>270</v>
      </c>
      <c r="B86" t="s">
        <v>271</v>
      </c>
      <c r="C86" s="96">
        <v>1</v>
      </c>
      <c r="D86" s="177">
        <v>0.34</v>
      </c>
      <c r="E86" s="177">
        <v>0.66</v>
      </c>
      <c r="F86" s="305">
        <v>226.63300000000001</v>
      </c>
      <c r="G86" s="305">
        <v>60.494799999999998</v>
      </c>
      <c r="H86" s="92">
        <f>C86*D86*F86+E86*G86</f>
        <v>116.98178800000001</v>
      </c>
    </row>
    <row r="87" spans="1:8">
      <c r="A87" t="s">
        <v>181</v>
      </c>
      <c r="B87" t="s">
        <v>201</v>
      </c>
      <c r="C87" s="96">
        <v>1</v>
      </c>
      <c r="D87" s="177">
        <v>0.65</v>
      </c>
      <c r="E87" s="177">
        <v>0.35</v>
      </c>
      <c r="F87" s="305">
        <v>151.4177</v>
      </c>
      <c r="G87" s="305">
        <v>72.008300000000006</v>
      </c>
      <c r="H87" s="92">
        <f>C87*D87*F87+E87*G87</f>
        <v>123.62441</v>
      </c>
    </row>
    <row r="88" spans="1:8">
      <c r="A88" t="s">
        <v>182</v>
      </c>
      <c r="B88" t="s">
        <v>266</v>
      </c>
      <c r="C88" s="96">
        <v>1</v>
      </c>
      <c r="D88" s="177">
        <v>0.52</v>
      </c>
      <c r="E88" s="177">
        <v>0.48</v>
      </c>
      <c r="F88" s="305">
        <v>146.9331</v>
      </c>
      <c r="G88" s="305">
        <v>60.789700000000003</v>
      </c>
      <c r="H88" s="92">
        <f>C88*D88*F88+E88*G88</f>
        <v>105.58426800000001</v>
      </c>
    </row>
    <row r="89" spans="1:8">
      <c r="C89" s="191"/>
      <c r="D89" s="191"/>
      <c r="E89" s="191"/>
      <c r="F89" s="191"/>
      <c r="G89" s="194" t="s">
        <v>171</v>
      </c>
      <c r="H89" s="94">
        <f>SUM(H86:H88)</f>
        <v>346.19046600000001</v>
      </c>
    </row>
    <row r="90" spans="1:8">
      <c r="A90" s="26" t="s">
        <v>157</v>
      </c>
      <c r="B90" s="26"/>
      <c r="C90" s="189" t="s">
        <v>4</v>
      </c>
      <c r="D90" s="189" t="s">
        <v>3</v>
      </c>
      <c r="E90" s="958" t="s">
        <v>156</v>
      </c>
      <c r="F90" s="958"/>
      <c r="G90" s="970" t="s">
        <v>158</v>
      </c>
      <c r="H90" s="970"/>
    </row>
    <row r="91" spans="1:8">
      <c r="A91" t="s">
        <v>159</v>
      </c>
      <c r="B91" t="s">
        <v>160</v>
      </c>
      <c r="C91" s="96">
        <v>1</v>
      </c>
      <c r="D91" s="191" t="s">
        <v>161</v>
      </c>
      <c r="E91" s="962">
        <v>21.135400000000001</v>
      </c>
      <c r="F91" s="962"/>
      <c r="G91" s="963">
        <f>C91*E91</f>
        <v>21.135400000000001</v>
      </c>
      <c r="H91" s="963"/>
    </row>
    <row r="92" spans="1:8">
      <c r="C92" s="191"/>
      <c r="D92" s="191"/>
      <c r="E92" s="191"/>
      <c r="F92" s="194" t="s">
        <v>169</v>
      </c>
      <c r="G92" s="963">
        <f>SUM(G91)</f>
        <v>21.135400000000001</v>
      </c>
      <c r="H92" s="963"/>
    </row>
    <row r="93" spans="1:8">
      <c r="A93" s="11"/>
      <c r="B93" s="11"/>
      <c r="C93" s="13"/>
      <c r="D93" s="13"/>
      <c r="E93" s="13"/>
      <c r="F93" s="190" t="s">
        <v>170</v>
      </c>
      <c r="G93" s="972">
        <f>G92+H89</f>
        <v>367.32586600000002</v>
      </c>
      <c r="H93" s="973"/>
    </row>
    <row r="94" spans="1:8">
      <c r="C94" s="191"/>
      <c r="D94" s="191"/>
      <c r="E94" s="191"/>
      <c r="F94" s="194" t="s">
        <v>180</v>
      </c>
      <c r="G94" s="193"/>
      <c r="H94" s="192">
        <f>G93/F82</f>
        <v>3.245501555045061</v>
      </c>
    </row>
    <row r="95" spans="1:8">
      <c r="C95" s="191"/>
      <c r="D95" s="191"/>
      <c r="E95" s="191"/>
      <c r="F95" s="194" t="s">
        <v>184</v>
      </c>
      <c r="G95" s="193"/>
      <c r="H95" s="192">
        <v>5.2200000000000003E-2</v>
      </c>
    </row>
    <row r="96" spans="1:8">
      <c r="A96" s="26" t="s">
        <v>167</v>
      </c>
      <c r="B96" s="26"/>
      <c r="C96" s="189" t="s">
        <v>4</v>
      </c>
      <c r="D96" s="189" t="s">
        <v>3</v>
      </c>
      <c r="E96" s="958" t="s">
        <v>265</v>
      </c>
      <c r="F96" s="958"/>
      <c r="G96" s="970" t="s">
        <v>158</v>
      </c>
      <c r="H96" s="970"/>
    </row>
    <row r="97" spans="1:8" s="222" customFormat="1">
      <c r="A97" s="225">
        <v>6416040</v>
      </c>
      <c r="B97" s="222" t="s">
        <v>274</v>
      </c>
      <c r="C97" s="220">
        <v>1.4</v>
      </c>
      <c r="D97" s="224" t="s">
        <v>14</v>
      </c>
      <c r="E97" s="964" t="e">
        <f>#REF!</f>
        <v>#REF!</v>
      </c>
      <c r="F97" s="964"/>
      <c r="G97" s="965" t="e">
        <f>C97*E97</f>
        <v>#REF!</v>
      </c>
      <c r="H97" s="965"/>
    </row>
    <row r="98" spans="1:8">
      <c r="A98" s="11"/>
      <c r="B98" s="11"/>
      <c r="C98" s="13"/>
      <c r="D98" s="13"/>
      <c r="E98" s="13"/>
      <c r="F98" s="190" t="s">
        <v>168</v>
      </c>
      <c r="G98" s="972" t="e">
        <f>SUM(G97)</f>
        <v>#REF!</v>
      </c>
      <c r="H98" s="972"/>
    </row>
    <row r="99" spans="1:8">
      <c r="C99" s="191"/>
      <c r="D99" s="191"/>
      <c r="E99" s="191"/>
      <c r="F99" s="191"/>
      <c r="G99" s="191" t="s">
        <v>179</v>
      </c>
      <c r="H99" s="94" t="e">
        <f>G98+H94+H95</f>
        <v>#REF!</v>
      </c>
    </row>
    <row r="100" spans="1:8">
      <c r="A100" s="26" t="s">
        <v>172</v>
      </c>
      <c r="B100" s="26"/>
      <c r="C100" s="189" t="s">
        <v>4</v>
      </c>
      <c r="D100" s="189" t="s">
        <v>3</v>
      </c>
      <c r="E100" s="958" t="s">
        <v>156</v>
      </c>
      <c r="F100" s="958"/>
      <c r="G100" s="970" t="s">
        <v>158</v>
      </c>
      <c r="H100" s="970"/>
    </row>
    <row r="101" spans="1:8">
      <c r="A101" s="11"/>
      <c r="B101" s="11"/>
      <c r="C101" s="13"/>
      <c r="D101" s="13"/>
      <c r="E101" s="13"/>
      <c r="F101" s="190" t="s">
        <v>272</v>
      </c>
      <c r="G101" s="971">
        <v>0</v>
      </c>
      <c r="H101" s="971"/>
    </row>
    <row r="102" spans="1:8">
      <c r="A102" s="11"/>
      <c r="B102" s="11"/>
      <c r="C102" s="13"/>
      <c r="D102" s="13"/>
      <c r="E102" s="13"/>
      <c r="F102" s="190" t="s">
        <v>273</v>
      </c>
      <c r="G102" s="972">
        <f>SUM(G101)</f>
        <v>0</v>
      </c>
      <c r="H102" s="973"/>
    </row>
    <row r="103" spans="1:8">
      <c r="C103" s="191"/>
      <c r="D103" s="191"/>
      <c r="E103" s="191"/>
      <c r="F103" s="194"/>
      <c r="G103" s="193"/>
      <c r="H103" s="192"/>
    </row>
    <row r="104" spans="1:8">
      <c r="A104" s="26" t="s">
        <v>174</v>
      </c>
      <c r="B104" s="26"/>
      <c r="C104" s="189" t="s">
        <v>175</v>
      </c>
      <c r="D104" s="189" t="s">
        <v>4</v>
      </c>
      <c r="E104" s="189" t="s">
        <v>3</v>
      </c>
      <c r="F104" s="958" t="s">
        <v>176</v>
      </c>
      <c r="G104" s="958"/>
      <c r="H104" s="195" t="s">
        <v>176</v>
      </c>
    </row>
    <row r="105" spans="1:8">
      <c r="A105" s="99"/>
      <c r="B105" s="102"/>
      <c r="C105" s="188"/>
      <c r="D105" s="180"/>
      <c r="E105" s="188"/>
      <c r="F105" s="966"/>
      <c r="G105" s="966"/>
      <c r="H105" s="103"/>
    </row>
    <row r="106" spans="1:8">
      <c r="C106" s="191"/>
      <c r="D106" s="191"/>
      <c r="E106" s="191"/>
      <c r="F106" s="191"/>
      <c r="G106" s="194" t="s">
        <v>177</v>
      </c>
      <c r="H106" s="92">
        <f>SUM(H105:H105)</f>
        <v>0</v>
      </c>
    </row>
    <row r="107" spans="1:8">
      <c r="A107" s="954" t="s">
        <v>257</v>
      </c>
      <c r="B107" s="954"/>
      <c r="C107" s="956" t="s">
        <v>4</v>
      </c>
      <c r="D107" s="956" t="s">
        <v>3</v>
      </c>
      <c r="E107" s="958" t="s">
        <v>258</v>
      </c>
      <c r="F107" s="958"/>
      <c r="G107" s="958"/>
      <c r="H107" s="959" t="s">
        <v>176</v>
      </c>
    </row>
    <row r="108" spans="1:8">
      <c r="A108" s="955"/>
      <c r="B108" s="955"/>
      <c r="C108" s="957"/>
      <c r="D108" s="957"/>
      <c r="E108" s="13" t="s">
        <v>259</v>
      </c>
      <c r="F108" s="13" t="s">
        <v>260</v>
      </c>
      <c r="G108" s="13" t="s">
        <v>261</v>
      </c>
      <c r="H108" s="960"/>
    </row>
    <row r="109" spans="1:8">
      <c r="A109" s="8"/>
      <c r="B109" s="8"/>
      <c r="C109" s="96"/>
      <c r="D109" s="191"/>
      <c r="E109" s="961"/>
      <c r="F109" s="961"/>
      <c r="G109" s="177"/>
      <c r="H109" s="182"/>
    </row>
    <row r="110" spans="1:8">
      <c r="A110" s="11"/>
      <c r="B110" s="11"/>
      <c r="C110" s="13"/>
      <c r="D110" s="13"/>
      <c r="E110" s="13"/>
      <c r="F110" s="13"/>
      <c r="G110" s="190" t="s">
        <v>263</v>
      </c>
      <c r="H110" s="183">
        <f>SUM(H109:H109)</f>
        <v>0</v>
      </c>
    </row>
    <row r="111" spans="1:8">
      <c r="A111" s="11"/>
      <c r="B111" s="11"/>
      <c r="C111" s="13"/>
      <c r="D111" s="13"/>
      <c r="E111" s="13"/>
      <c r="F111" s="13"/>
      <c r="G111" s="190" t="s">
        <v>178</v>
      </c>
      <c r="H111" s="187" t="e">
        <f>H99</f>
        <v>#REF!</v>
      </c>
    </row>
    <row r="112" spans="1:8" hidden="1">
      <c r="A112" t="s">
        <v>162</v>
      </c>
      <c r="C112" s="1" t="s">
        <v>164</v>
      </c>
      <c r="H112" s="231" t="s">
        <v>382</v>
      </c>
    </row>
    <row r="113" spans="1:8" hidden="1">
      <c r="A113" t="s">
        <v>163</v>
      </c>
      <c r="C113" s="95">
        <v>44105</v>
      </c>
      <c r="E113" s="93" t="s">
        <v>165</v>
      </c>
      <c r="F113" s="178">
        <v>84.66</v>
      </c>
      <c r="G113" s="17" t="s">
        <v>147</v>
      </c>
    </row>
    <row r="114" spans="1:8" hidden="1">
      <c r="A114" s="6">
        <v>6416213</v>
      </c>
      <c r="B114" s="6" t="s">
        <v>375</v>
      </c>
      <c r="H114" s="93" t="s">
        <v>166</v>
      </c>
    </row>
    <row r="115" spans="1:8" hidden="1">
      <c r="A115" s="954" t="s">
        <v>148</v>
      </c>
      <c r="B115" s="954"/>
      <c r="C115" s="967" t="s">
        <v>4</v>
      </c>
      <c r="D115" s="969" t="s">
        <v>155</v>
      </c>
      <c r="E115" s="969"/>
      <c r="F115" s="969" t="s">
        <v>156</v>
      </c>
      <c r="G115" s="969"/>
      <c r="H115" s="967" t="s">
        <v>158</v>
      </c>
    </row>
    <row r="116" spans="1:8" hidden="1">
      <c r="A116" s="955"/>
      <c r="B116" s="955"/>
      <c r="C116" s="968"/>
      <c r="D116" s="13" t="s">
        <v>151</v>
      </c>
      <c r="E116" s="13" t="s">
        <v>152</v>
      </c>
      <c r="F116" s="13" t="s">
        <v>153</v>
      </c>
      <c r="G116" s="13" t="s">
        <v>154</v>
      </c>
      <c r="H116" s="968"/>
    </row>
    <row r="117" spans="1:8" hidden="1">
      <c r="A117" t="s">
        <v>239</v>
      </c>
      <c r="B117" t="s">
        <v>149</v>
      </c>
      <c r="C117" s="96">
        <v>1</v>
      </c>
      <c r="D117" s="177">
        <v>1</v>
      </c>
      <c r="E117" s="177">
        <v>0</v>
      </c>
      <c r="F117" s="211">
        <v>35.933799999999998</v>
      </c>
      <c r="G117" s="211">
        <v>18.839099999999998</v>
      </c>
      <c r="H117" s="92">
        <f>C117*D117*F117+E117*G117</f>
        <v>35.933799999999998</v>
      </c>
    </row>
    <row r="118" spans="1:8" hidden="1">
      <c r="A118" t="s">
        <v>240</v>
      </c>
      <c r="B118" t="s">
        <v>364</v>
      </c>
      <c r="C118" s="96">
        <v>1</v>
      </c>
      <c r="D118" s="177">
        <v>0.68</v>
      </c>
      <c r="E118" s="177">
        <v>0.32</v>
      </c>
      <c r="F118" s="211">
        <v>111.4147</v>
      </c>
      <c r="G118" s="211">
        <v>56.344200000000001</v>
      </c>
      <c r="H118" s="92">
        <f>C118*D118*F118+E118*G118</f>
        <v>93.792139999999989</v>
      </c>
    </row>
    <row r="119" spans="1:8" hidden="1">
      <c r="A119" t="s">
        <v>241</v>
      </c>
      <c r="B119" t="s">
        <v>150</v>
      </c>
      <c r="C119" s="96">
        <v>1</v>
      </c>
      <c r="D119" s="177">
        <v>1</v>
      </c>
      <c r="E119" s="177">
        <v>0</v>
      </c>
      <c r="F119" s="211">
        <v>227.08359999999999</v>
      </c>
      <c r="G119" s="211">
        <v>10.2835</v>
      </c>
      <c r="H119" s="92">
        <f>C119*D119*F119+E119*G119</f>
        <v>227.08359999999999</v>
      </c>
    </row>
    <row r="120" spans="1:8" hidden="1">
      <c r="A120" t="s">
        <v>363</v>
      </c>
      <c r="B120" t="s">
        <v>365</v>
      </c>
      <c r="C120" s="96">
        <v>2</v>
      </c>
      <c r="D120" s="177">
        <v>1</v>
      </c>
      <c r="E120" s="177">
        <v>0</v>
      </c>
      <c r="F120" s="211">
        <v>17.8399</v>
      </c>
      <c r="G120" s="211">
        <v>11.3331</v>
      </c>
      <c r="H120" s="92">
        <f>C120*D120*F120+E120*G120</f>
        <v>35.6798</v>
      </c>
    </row>
    <row r="121" spans="1:8" hidden="1">
      <c r="A121" t="s">
        <v>242</v>
      </c>
      <c r="B121" t="s">
        <v>366</v>
      </c>
      <c r="C121" s="96">
        <v>1</v>
      </c>
      <c r="D121" s="177">
        <v>1</v>
      </c>
      <c r="E121" s="177">
        <v>0</v>
      </c>
      <c r="F121" s="211">
        <v>840.28769999999997</v>
      </c>
      <c r="G121" s="211">
        <v>404.66730000000001</v>
      </c>
      <c r="H121" s="92">
        <f>C121*D121*F121+E121*G121</f>
        <v>840.28769999999997</v>
      </c>
    </row>
    <row r="122" spans="1:8" hidden="1">
      <c r="G122" s="93" t="s">
        <v>171</v>
      </c>
      <c r="H122" s="94">
        <f>SUM(H117:H121)</f>
        <v>1232.7770399999999</v>
      </c>
    </row>
    <row r="123" spans="1:8" hidden="1">
      <c r="A123" s="26" t="s">
        <v>157</v>
      </c>
      <c r="B123" s="26"/>
      <c r="C123" s="27" t="s">
        <v>4</v>
      </c>
      <c r="D123" s="27" t="s">
        <v>3</v>
      </c>
      <c r="E123" s="958" t="s">
        <v>156</v>
      </c>
      <c r="F123" s="958"/>
      <c r="G123" s="970" t="s">
        <v>158</v>
      </c>
      <c r="H123" s="970"/>
    </row>
    <row r="124" spans="1:8" hidden="1">
      <c r="A124" t="s">
        <v>159</v>
      </c>
      <c r="B124" t="s">
        <v>160</v>
      </c>
      <c r="C124" s="96">
        <v>4</v>
      </c>
      <c r="D124" s="1" t="s">
        <v>161</v>
      </c>
      <c r="E124" s="962">
        <v>17.998999999999999</v>
      </c>
      <c r="F124" s="962"/>
      <c r="G124" s="963">
        <f>C124*E124</f>
        <v>71.995999999999995</v>
      </c>
      <c r="H124" s="963"/>
    </row>
    <row r="125" spans="1:8" hidden="1">
      <c r="F125" s="93" t="s">
        <v>169</v>
      </c>
      <c r="G125" s="963">
        <f>SUM(G124)</f>
        <v>71.995999999999995</v>
      </c>
      <c r="H125" s="963"/>
    </row>
    <row r="126" spans="1:8" hidden="1">
      <c r="A126" s="11"/>
      <c r="B126" s="11"/>
      <c r="C126" s="13"/>
      <c r="D126" s="13"/>
      <c r="E126" s="13"/>
      <c r="F126" s="101" t="s">
        <v>170</v>
      </c>
      <c r="G126" s="972">
        <f>G125+H122</f>
        <v>1304.77304</v>
      </c>
      <c r="H126" s="973"/>
    </row>
    <row r="127" spans="1:8" hidden="1">
      <c r="F127" s="93" t="s">
        <v>180</v>
      </c>
      <c r="G127" s="97"/>
      <c r="H127" s="98">
        <f>G126/F113</f>
        <v>15.411918733758565</v>
      </c>
    </row>
    <row r="128" spans="1:8" hidden="1">
      <c r="F128" s="93" t="s">
        <v>184</v>
      </c>
      <c r="G128" s="97"/>
      <c r="H128" s="98" t="s">
        <v>47</v>
      </c>
    </row>
    <row r="129" spans="1:8" hidden="1">
      <c r="A129" s="26" t="s">
        <v>167</v>
      </c>
      <c r="B129" s="26"/>
      <c r="C129" s="27" t="s">
        <v>4</v>
      </c>
      <c r="D129" s="27" t="s">
        <v>3</v>
      </c>
      <c r="E129" s="958" t="s">
        <v>265</v>
      </c>
      <c r="F129" s="958"/>
      <c r="G129" s="970" t="s">
        <v>158</v>
      </c>
      <c r="H129" s="970"/>
    </row>
    <row r="130" spans="1:8" s="222" customFormat="1" hidden="1">
      <c r="A130" s="219" t="s">
        <v>244</v>
      </c>
      <c r="B130" s="219" t="s">
        <v>249</v>
      </c>
      <c r="C130" s="226">
        <v>6.275E-2</v>
      </c>
      <c r="D130" s="221" t="s">
        <v>14</v>
      </c>
      <c r="E130" s="980" t="e">
        <f>#REF!</f>
        <v>#REF!</v>
      </c>
      <c r="F130" s="980"/>
      <c r="G130" s="976" t="e">
        <f t="shared" ref="G130:G136" si="1">E130*C130</f>
        <v>#REF!</v>
      </c>
      <c r="H130" s="977"/>
    </row>
    <row r="131" spans="1:8" s="222" customFormat="1" hidden="1">
      <c r="A131" s="219" t="s">
        <v>367</v>
      </c>
      <c r="B131" s="219" t="s">
        <v>370</v>
      </c>
      <c r="C131" s="226">
        <v>6.275E-2</v>
      </c>
      <c r="D131" s="221" t="s">
        <v>14</v>
      </c>
      <c r="E131" s="981" t="e">
        <f>#REF!</f>
        <v>#REF!</v>
      </c>
      <c r="F131" s="981"/>
      <c r="G131" s="976" t="e">
        <f t="shared" si="1"/>
        <v>#REF!</v>
      </c>
      <c r="H131" s="977"/>
    </row>
    <row r="132" spans="1:8" s="222" customFormat="1" hidden="1">
      <c r="A132" s="219" t="s">
        <v>368</v>
      </c>
      <c r="B132" s="219" t="s">
        <v>371</v>
      </c>
      <c r="C132" s="226">
        <v>56.47</v>
      </c>
      <c r="D132" s="221" t="s">
        <v>252</v>
      </c>
      <c r="E132" s="983" t="e">
        <f>#REF!/(20)</f>
        <v>#REF!</v>
      </c>
      <c r="F132" s="983"/>
      <c r="G132" s="976" t="e">
        <f t="shared" si="1"/>
        <v>#REF!</v>
      </c>
      <c r="H132" s="977"/>
    </row>
    <row r="133" spans="1:8" hidden="1">
      <c r="A133" s="8" t="s">
        <v>369</v>
      </c>
      <c r="B133" s="8" t="s">
        <v>372</v>
      </c>
      <c r="C133" s="179">
        <v>5.8819999999999997E-2</v>
      </c>
      <c r="D133" s="9" t="s">
        <v>147</v>
      </c>
      <c r="E133" s="984">
        <v>0</v>
      </c>
      <c r="F133" s="984"/>
      <c r="G133" s="985">
        <f t="shared" ref="G133:G134" si="2">E133*C133</f>
        <v>0</v>
      </c>
      <c r="H133" s="963"/>
    </row>
    <row r="134" spans="1:8" hidden="1">
      <c r="A134" t="s">
        <v>247</v>
      </c>
      <c r="B134" t="s">
        <v>250</v>
      </c>
      <c r="C134" s="96">
        <v>14</v>
      </c>
      <c r="D134" s="211" t="s">
        <v>253</v>
      </c>
      <c r="E134" s="974">
        <v>3.7974999999999999</v>
      </c>
      <c r="F134" s="974"/>
      <c r="G134" s="985">
        <f t="shared" si="2"/>
        <v>53.164999999999999</v>
      </c>
      <c r="H134" s="963"/>
    </row>
    <row r="135" spans="1:8" s="230" customFormat="1" hidden="1">
      <c r="A135" s="227" t="s">
        <v>248</v>
      </c>
      <c r="B135" s="227" t="s">
        <v>251</v>
      </c>
      <c r="C135" s="228">
        <v>0.13804</v>
      </c>
      <c r="D135" s="229" t="s">
        <v>14</v>
      </c>
      <c r="E135" s="982" t="e">
        <f>#REF!</f>
        <v>#REF!</v>
      </c>
      <c r="F135" s="982"/>
      <c r="G135" s="978" t="e">
        <f t="shared" si="1"/>
        <v>#REF!</v>
      </c>
      <c r="H135" s="979"/>
    </row>
    <row r="136" spans="1:8" s="222" customFormat="1" hidden="1">
      <c r="A136" s="222" t="s">
        <v>358</v>
      </c>
      <c r="B136" s="222" t="s">
        <v>360</v>
      </c>
      <c r="C136" s="220">
        <v>0.32627</v>
      </c>
      <c r="D136" s="224" t="s">
        <v>14</v>
      </c>
      <c r="E136" s="964" t="e">
        <f>#REF!</f>
        <v>#REF!</v>
      </c>
      <c r="F136" s="964"/>
      <c r="G136" s="976" t="e">
        <f t="shared" si="1"/>
        <v>#REF!</v>
      </c>
      <c r="H136" s="977"/>
    </row>
    <row r="137" spans="1:8" hidden="1">
      <c r="A137" s="11"/>
      <c r="B137" s="11"/>
      <c r="C137" s="13"/>
      <c r="D137" s="13"/>
      <c r="E137" s="13"/>
      <c r="F137" s="171" t="s">
        <v>168</v>
      </c>
      <c r="G137" s="972" t="e">
        <f>SUM(G130:H136)</f>
        <v>#REF!</v>
      </c>
      <c r="H137" s="972"/>
    </row>
    <row r="138" spans="1:8" hidden="1">
      <c r="G138" s="1" t="s">
        <v>179</v>
      </c>
      <c r="H138" s="94" t="e">
        <f>G137+H127</f>
        <v>#REF!</v>
      </c>
    </row>
    <row r="139" spans="1:8" hidden="1">
      <c r="A139" s="26" t="s">
        <v>174</v>
      </c>
      <c r="B139" s="26"/>
      <c r="C139" s="27" t="s">
        <v>175</v>
      </c>
      <c r="D139" s="27" t="s">
        <v>4</v>
      </c>
      <c r="E139" s="27" t="s">
        <v>3</v>
      </c>
      <c r="F139" s="958" t="s">
        <v>176</v>
      </c>
      <c r="G139" s="958"/>
      <c r="H139" s="185" t="s">
        <v>176</v>
      </c>
    </row>
    <row r="140" spans="1:8" hidden="1">
      <c r="A140" s="99" t="s">
        <v>244</v>
      </c>
      <c r="B140" s="102" t="s">
        <v>255</v>
      </c>
      <c r="C140" s="176">
        <v>5914647</v>
      </c>
      <c r="D140" s="180">
        <v>9.4130000000000005E-2</v>
      </c>
      <c r="E140" s="100" t="s">
        <v>147</v>
      </c>
      <c r="F140" s="966">
        <v>0.88</v>
      </c>
      <c r="G140" s="966"/>
      <c r="H140" s="103">
        <f>D140*F140</f>
        <v>8.2834400000000002E-2</v>
      </c>
    </row>
    <row r="141" spans="1:8" hidden="1">
      <c r="A141" s="99" t="s">
        <v>367</v>
      </c>
      <c r="B141" s="102" t="s">
        <v>373</v>
      </c>
      <c r="C141" s="214">
        <v>5914647</v>
      </c>
      <c r="D141" s="180">
        <v>9.4130000000000005E-2</v>
      </c>
      <c r="E141" s="214" t="s">
        <v>147</v>
      </c>
      <c r="F141" s="966">
        <v>0.88</v>
      </c>
      <c r="G141" s="966"/>
      <c r="H141" s="103">
        <f>D141*F141</f>
        <v>8.2834400000000002E-2</v>
      </c>
    </row>
    <row r="142" spans="1:8" hidden="1">
      <c r="A142" s="99" t="s">
        <v>368</v>
      </c>
      <c r="B142" s="102" t="s">
        <v>374</v>
      </c>
      <c r="C142" s="176">
        <v>5914647</v>
      </c>
      <c r="D142" s="180">
        <v>5.6469999999999999E-2</v>
      </c>
      <c r="E142" s="176" t="s">
        <v>147</v>
      </c>
      <c r="F142" s="966">
        <v>9.75</v>
      </c>
      <c r="G142" s="966"/>
      <c r="H142" s="103">
        <f>D142*F142</f>
        <v>0.55058249999999997</v>
      </c>
    </row>
    <row r="143" spans="1:8" hidden="1">
      <c r="A143" s="99" t="s">
        <v>248</v>
      </c>
      <c r="B143" s="102" t="s">
        <v>256</v>
      </c>
      <c r="C143" s="176">
        <v>5914655</v>
      </c>
      <c r="D143" s="180">
        <v>0.20705999999999999</v>
      </c>
      <c r="E143" s="176" t="s">
        <v>147</v>
      </c>
      <c r="F143" s="966">
        <v>0.88</v>
      </c>
      <c r="G143" s="966"/>
      <c r="H143" s="103">
        <f>D143*F143</f>
        <v>0.18221280000000001</v>
      </c>
    </row>
    <row r="144" spans="1:8" hidden="1">
      <c r="A144" s="99" t="s">
        <v>358</v>
      </c>
      <c r="B144" s="102" t="s">
        <v>362</v>
      </c>
      <c r="C144" s="176">
        <v>5914647</v>
      </c>
      <c r="D144" s="180">
        <v>0.48941000000000001</v>
      </c>
      <c r="E144" s="176" t="s">
        <v>147</v>
      </c>
      <c r="F144" s="966">
        <v>0.88</v>
      </c>
      <c r="G144" s="966"/>
      <c r="H144" s="103">
        <f>D144*F144</f>
        <v>0.43068080000000003</v>
      </c>
    </row>
    <row r="145" spans="1:10" hidden="1">
      <c r="G145" s="93" t="s">
        <v>177</v>
      </c>
      <c r="H145" s="92">
        <f>SUM(H140:H144)</f>
        <v>1.3291449</v>
      </c>
    </row>
    <row r="146" spans="1:10" hidden="1">
      <c r="A146" s="954" t="s">
        <v>257</v>
      </c>
      <c r="B146" s="954"/>
      <c r="C146" s="956" t="s">
        <v>4</v>
      </c>
      <c r="D146" s="956" t="s">
        <v>3</v>
      </c>
      <c r="E146" s="958" t="s">
        <v>258</v>
      </c>
      <c r="F146" s="958"/>
      <c r="G146" s="958"/>
      <c r="H146" s="959" t="s">
        <v>176</v>
      </c>
    </row>
    <row r="147" spans="1:10" hidden="1">
      <c r="A147" s="955"/>
      <c r="B147" s="955"/>
      <c r="C147" s="957"/>
      <c r="D147" s="957"/>
      <c r="E147" s="13" t="s">
        <v>259</v>
      </c>
      <c r="F147" s="13" t="s">
        <v>260</v>
      </c>
      <c r="G147" s="13" t="s">
        <v>261</v>
      </c>
      <c r="H147" s="960"/>
    </row>
    <row r="148" spans="1:10" hidden="1">
      <c r="A148" t="s">
        <v>243</v>
      </c>
      <c r="B148" t="s">
        <v>254</v>
      </c>
      <c r="C148" s="96">
        <v>0.49056</v>
      </c>
      <c r="D148" s="175" t="s">
        <v>262</v>
      </c>
      <c r="E148" s="956"/>
      <c r="F148" s="956"/>
      <c r="G148" s="175"/>
      <c r="H148" s="182">
        <f>C148*G148*1.48*30</f>
        <v>0</v>
      </c>
      <c r="I148">
        <v>1480</v>
      </c>
      <c r="J148" t="s">
        <v>267</v>
      </c>
    </row>
    <row r="149" spans="1:10" hidden="1">
      <c r="A149" t="s">
        <v>244</v>
      </c>
      <c r="B149" t="s">
        <v>255</v>
      </c>
      <c r="C149" s="96">
        <v>0.18869</v>
      </c>
      <c r="D149" s="175" t="s">
        <v>262</v>
      </c>
      <c r="E149" s="961"/>
      <c r="F149" s="961"/>
      <c r="G149" s="175"/>
      <c r="H149" s="182">
        <f>C149*G149*1.2*30</f>
        <v>0</v>
      </c>
      <c r="I149">
        <v>1200</v>
      </c>
      <c r="J149" t="s">
        <v>267</v>
      </c>
    </row>
    <row r="150" spans="1:10" hidden="1">
      <c r="A150" t="s">
        <v>245</v>
      </c>
      <c r="B150" t="s">
        <v>268</v>
      </c>
      <c r="C150" s="96">
        <v>5.6599999999999998E-2</v>
      </c>
      <c r="D150" s="175" t="s">
        <v>262</v>
      </c>
      <c r="E150" s="961"/>
      <c r="F150" s="961"/>
      <c r="G150" s="175"/>
      <c r="H150" s="182">
        <f>C150*G150*1.7*30</f>
        <v>0</v>
      </c>
      <c r="I150">
        <v>1700</v>
      </c>
      <c r="J150" t="s">
        <v>267</v>
      </c>
    </row>
    <row r="151" spans="1:10" hidden="1">
      <c r="A151" t="s">
        <v>248</v>
      </c>
      <c r="B151" t="s">
        <v>256</v>
      </c>
      <c r="C151" s="96">
        <v>0.20754</v>
      </c>
      <c r="D151" s="175" t="s">
        <v>262</v>
      </c>
      <c r="E151" s="961"/>
      <c r="F151" s="961"/>
      <c r="G151" s="175"/>
      <c r="H151" s="182">
        <f>C151*G151*1.48*30</f>
        <v>0</v>
      </c>
      <c r="I151">
        <v>1480</v>
      </c>
      <c r="J151" t="s">
        <v>267</v>
      </c>
    </row>
    <row r="152" spans="1:10" hidden="1">
      <c r="A152" s="8" t="s">
        <v>246</v>
      </c>
      <c r="B152" s="8" t="s">
        <v>269</v>
      </c>
      <c r="C152" s="96">
        <f>1-SUM(C148:C151)</f>
        <v>5.6610000000000049E-2</v>
      </c>
      <c r="D152" s="175" t="s">
        <v>262</v>
      </c>
      <c r="E152" s="961"/>
      <c r="F152" s="961"/>
      <c r="G152" s="177"/>
      <c r="H152" s="182">
        <v>0</v>
      </c>
      <c r="I152">
        <v>2500</v>
      </c>
      <c r="J152" t="s">
        <v>267</v>
      </c>
    </row>
    <row r="153" spans="1:10" hidden="1">
      <c r="A153" s="11"/>
      <c r="B153" s="11"/>
      <c r="C153" s="13"/>
      <c r="D153" s="13"/>
      <c r="E153" s="13"/>
      <c r="F153" s="13"/>
      <c r="G153" s="171" t="s">
        <v>263</v>
      </c>
      <c r="H153" s="183">
        <f>SUM(H148:H152)</f>
        <v>0</v>
      </c>
    </row>
    <row r="154" spans="1:10" hidden="1">
      <c r="A154" s="11"/>
      <c r="B154" s="11"/>
      <c r="C154" s="13"/>
      <c r="D154" s="13"/>
      <c r="E154" s="13"/>
      <c r="F154" s="13"/>
      <c r="G154" s="171" t="s">
        <v>178</v>
      </c>
      <c r="H154" s="187" t="e">
        <f>H145+H138+H153</f>
        <v>#REF!</v>
      </c>
    </row>
    <row r="155" spans="1:10" hidden="1">
      <c r="A155" t="s">
        <v>162</v>
      </c>
      <c r="C155" s="175" t="s">
        <v>164</v>
      </c>
      <c r="D155" s="175"/>
      <c r="E155" s="175"/>
      <c r="F155" s="175"/>
      <c r="G155" s="175"/>
      <c r="H155" s="231" t="s">
        <v>381</v>
      </c>
    </row>
    <row r="156" spans="1:10" hidden="1">
      <c r="A156" t="s">
        <v>163</v>
      </c>
      <c r="C156" s="95">
        <v>43831</v>
      </c>
      <c r="D156" s="175"/>
      <c r="E156" s="174" t="s">
        <v>165</v>
      </c>
      <c r="F156" s="178">
        <v>84.66</v>
      </c>
      <c r="G156" s="17" t="s">
        <v>147</v>
      </c>
    </row>
    <row r="157" spans="1:10" hidden="1">
      <c r="A157" s="6">
        <v>4011471</v>
      </c>
      <c r="B157" s="6" t="s">
        <v>376</v>
      </c>
      <c r="C157" s="175"/>
      <c r="D157" s="175"/>
      <c r="E157" s="175"/>
      <c r="F157" s="175"/>
      <c r="G157" s="175"/>
      <c r="H157" s="174" t="s">
        <v>166</v>
      </c>
    </row>
    <row r="158" spans="1:10" hidden="1">
      <c r="A158" s="954" t="s">
        <v>148</v>
      </c>
      <c r="B158" s="954"/>
      <c r="C158" s="967" t="s">
        <v>4</v>
      </c>
      <c r="D158" s="969" t="s">
        <v>155</v>
      </c>
      <c r="E158" s="969"/>
      <c r="F158" s="969" t="s">
        <v>156</v>
      </c>
      <c r="G158" s="969"/>
      <c r="H158" s="967" t="s">
        <v>158</v>
      </c>
    </row>
    <row r="159" spans="1:10" hidden="1">
      <c r="A159" s="955"/>
      <c r="B159" s="955"/>
      <c r="C159" s="968"/>
      <c r="D159" s="13" t="s">
        <v>151</v>
      </c>
      <c r="E159" s="13" t="s">
        <v>152</v>
      </c>
      <c r="F159" s="13" t="s">
        <v>153</v>
      </c>
      <c r="G159" s="13" t="s">
        <v>154</v>
      </c>
      <c r="H159" s="968"/>
    </row>
    <row r="160" spans="1:10" hidden="1">
      <c r="A160" t="s">
        <v>181</v>
      </c>
      <c r="B160" t="s">
        <v>201</v>
      </c>
      <c r="C160" s="96">
        <v>1</v>
      </c>
      <c r="D160" s="177">
        <v>0.6</v>
      </c>
      <c r="E160" s="177">
        <v>0.4</v>
      </c>
      <c r="F160" s="211">
        <v>131.04570000000001</v>
      </c>
      <c r="G160" s="211">
        <v>63.359900000000003</v>
      </c>
      <c r="H160" s="92">
        <f>C160*D160*F160+E160*G160</f>
        <v>103.97138000000001</v>
      </c>
    </row>
    <row r="161" spans="1:8" hidden="1">
      <c r="A161" t="s">
        <v>377</v>
      </c>
      <c r="B161" t="s">
        <v>378</v>
      </c>
      <c r="C161" s="96">
        <v>1</v>
      </c>
      <c r="D161" s="177">
        <v>0.69</v>
      </c>
      <c r="E161" s="177">
        <v>0.31</v>
      </c>
      <c r="F161" s="211">
        <v>158.51349999999999</v>
      </c>
      <c r="G161" s="211">
        <v>60.195999999999998</v>
      </c>
      <c r="H161" s="92">
        <f>C161*D161*F161+E161*G161</f>
        <v>128.03507499999998</v>
      </c>
    </row>
    <row r="162" spans="1:8" hidden="1">
      <c r="A162" t="s">
        <v>183</v>
      </c>
      <c r="B162" t="s">
        <v>202</v>
      </c>
      <c r="C162" s="96">
        <v>1</v>
      </c>
      <c r="D162" s="177">
        <v>1</v>
      </c>
      <c r="E162" s="177">
        <v>0</v>
      </c>
      <c r="F162" s="211">
        <v>164.47130000000001</v>
      </c>
      <c r="G162" s="211">
        <v>72.944400000000002</v>
      </c>
      <c r="H162" s="92">
        <f>C162*D162*F162+E162*G162</f>
        <v>164.47130000000001</v>
      </c>
    </row>
    <row r="163" spans="1:8" hidden="1">
      <c r="C163" s="175"/>
      <c r="D163" s="175"/>
      <c r="E163" s="175"/>
      <c r="F163" s="175"/>
      <c r="G163" s="174" t="s">
        <v>171</v>
      </c>
      <c r="H163" s="94">
        <f>SUM(H160:H162)</f>
        <v>396.477755</v>
      </c>
    </row>
    <row r="164" spans="1:8" hidden="1">
      <c r="C164" s="175"/>
      <c r="D164" s="175"/>
      <c r="E164" s="175"/>
      <c r="F164" s="175"/>
      <c r="G164" s="175"/>
    </row>
    <row r="165" spans="1:8" hidden="1">
      <c r="A165" s="26" t="s">
        <v>157</v>
      </c>
      <c r="B165" s="26"/>
      <c r="C165" s="170" t="s">
        <v>4</v>
      </c>
      <c r="D165" s="170" t="s">
        <v>3</v>
      </c>
      <c r="E165" s="958" t="s">
        <v>156</v>
      </c>
      <c r="F165" s="958"/>
      <c r="G165" s="958" t="s">
        <v>158</v>
      </c>
      <c r="H165" s="958"/>
    </row>
    <row r="166" spans="1:8" hidden="1">
      <c r="A166" t="s">
        <v>159</v>
      </c>
      <c r="B166" t="s">
        <v>160</v>
      </c>
      <c r="C166" s="96">
        <v>8</v>
      </c>
      <c r="D166" s="175" t="s">
        <v>161</v>
      </c>
      <c r="E166" s="974">
        <v>17.998999999999999</v>
      </c>
      <c r="F166" s="974"/>
      <c r="G166" s="975">
        <f>C166*E166</f>
        <v>143.99199999999999</v>
      </c>
      <c r="H166" s="975"/>
    </row>
    <row r="167" spans="1:8" hidden="1">
      <c r="C167" s="175"/>
      <c r="D167" s="175"/>
      <c r="E167" s="175"/>
      <c r="F167" s="174" t="s">
        <v>169</v>
      </c>
      <c r="G167" s="975">
        <f>SUM(G166)</f>
        <v>143.99199999999999</v>
      </c>
      <c r="H167" s="975"/>
    </row>
    <row r="168" spans="1:8" hidden="1">
      <c r="A168" s="11"/>
      <c r="B168" s="11"/>
      <c r="C168" s="13"/>
      <c r="D168" s="13"/>
      <c r="E168" s="13"/>
      <c r="F168" s="171" t="s">
        <v>170</v>
      </c>
      <c r="G168" s="972">
        <f>G167+H163</f>
        <v>540.46975499999996</v>
      </c>
      <c r="H168" s="973"/>
    </row>
    <row r="169" spans="1:8" hidden="1">
      <c r="C169" s="175"/>
      <c r="D169" s="175"/>
      <c r="E169" s="175"/>
      <c r="F169" s="174" t="s">
        <v>180</v>
      </c>
      <c r="G169" s="173"/>
      <c r="H169" s="172">
        <f>G168/F156</f>
        <v>6.3840037207654143</v>
      </c>
    </row>
    <row r="170" spans="1:8" hidden="1">
      <c r="C170" s="175"/>
      <c r="D170" s="175"/>
      <c r="E170" s="175"/>
      <c r="F170" s="174" t="s">
        <v>184</v>
      </c>
      <c r="G170" s="173"/>
      <c r="H170" s="172">
        <v>4.19E-2</v>
      </c>
    </row>
    <row r="171" spans="1:8" hidden="1">
      <c r="C171" s="175"/>
      <c r="D171" s="175"/>
      <c r="E171" s="175"/>
      <c r="F171" s="175"/>
      <c r="G171" s="175"/>
    </row>
    <row r="172" spans="1:8" hidden="1">
      <c r="A172" s="26" t="s">
        <v>167</v>
      </c>
      <c r="B172" s="26"/>
      <c r="C172" s="170" t="s">
        <v>4</v>
      </c>
      <c r="D172" s="170" t="s">
        <v>3</v>
      </c>
      <c r="E172" s="958" t="s">
        <v>156</v>
      </c>
      <c r="F172" s="958"/>
      <c r="G172" s="958" t="s">
        <v>158</v>
      </c>
      <c r="H172" s="958"/>
    </row>
    <row r="173" spans="1:8" hidden="1">
      <c r="C173" s="175"/>
      <c r="D173" s="175"/>
      <c r="E173" s="175"/>
      <c r="F173" s="174" t="s">
        <v>168</v>
      </c>
      <c r="G173" s="985"/>
      <c r="H173" s="963"/>
    </row>
    <row r="174" spans="1:8" hidden="1">
      <c r="C174" s="175"/>
      <c r="D174" s="175"/>
      <c r="E174" s="175"/>
      <c r="F174" s="175"/>
      <c r="G174" s="175"/>
    </row>
    <row r="175" spans="1:8" hidden="1">
      <c r="A175" s="26" t="s">
        <v>172</v>
      </c>
      <c r="B175" s="26"/>
      <c r="C175" s="170" t="s">
        <v>4</v>
      </c>
      <c r="D175" s="170" t="s">
        <v>3</v>
      </c>
      <c r="E175" s="958" t="s">
        <v>156</v>
      </c>
      <c r="F175" s="958"/>
      <c r="G175" s="958" t="s">
        <v>158</v>
      </c>
      <c r="H175" s="958"/>
    </row>
    <row r="176" spans="1:8" hidden="1">
      <c r="A176">
        <v>6416213</v>
      </c>
      <c r="B176" t="s">
        <v>375</v>
      </c>
      <c r="C176" s="175">
        <v>1.02</v>
      </c>
      <c r="D176" s="175" t="s">
        <v>147</v>
      </c>
      <c r="E176" s="974" t="e">
        <f>H154</f>
        <v>#REF!</v>
      </c>
      <c r="F176" s="962"/>
      <c r="G176" s="975" t="e">
        <f>C176*E176</f>
        <v>#REF!</v>
      </c>
      <c r="H176" s="975"/>
    </row>
    <row r="177" spans="1:8" hidden="1">
      <c r="C177" s="175"/>
      <c r="D177" s="175"/>
      <c r="E177" s="175"/>
      <c r="F177" s="174" t="s">
        <v>173</v>
      </c>
      <c r="G177" s="975" t="e">
        <f>SUM(G176)</f>
        <v>#REF!</v>
      </c>
      <c r="H177" s="975"/>
    </row>
    <row r="178" spans="1:8" hidden="1">
      <c r="C178" s="175"/>
      <c r="D178" s="175"/>
      <c r="E178" s="175"/>
      <c r="F178" s="175"/>
      <c r="G178" s="175" t="s">
        <v>179</v>
      </c>
      <c r="H178" s="94" t="e">
        <f>G177+H170+H169</f>
        <v>#REF!</v>
      </c>
    </row>
    <row r="179" spans="1:8" hidden="1">
      <c r="A179" s="26" t="s">
        <v>174</v>
      </c>
      <c r="B179" s="26"/>
      <c r="C179" s="170" t="s">
        <v>175</v>
      </c>
      <c r="D179" s="170" t="s">
        <v>4</v>
      </c>
      <c r="E179" s="170" t="s">
        <v>3</v>
      </c>
      <c r="F179" s="958" t="s">
        <v>176</v>
      </c>
      <c r="G179" s="958"/>
      <c r="H179" s="26" t="s">
        <v>176</v>
      </c>
    </row>
    <row r="180" spans="1:8" ht="28.8" hidden="1">
      <c r="A180" s="99">
        <v>6416213</v>
      </c>
      <c r="B180" s="102" t="s">
        <v>379</v>
      </c>
      <c r="C180" s="214">
        <v>5914646</v>
      </c>
      <c r="D180" s="176">
        <v>1.02</v>
      </c>
      <c r="E180" s="176" t="s">
        <v>147</v>
      </c>
      <c r="F180" s="966">
        <v>4.3499999999999996</v>
      </c>
      <c r="G180" s="966"/>
      <c r="H180" s="103">
        <f>D180*F180</f>
        <v>4.4369999999999994</v>
      </c>
    </row>
    <row r="181" spans="1:8" hidden="1">
      <c r="C181" s="175"/>
      <c r="D181" s="175"/>
      <c r="E181" s="175"/>
      <c r="F181" s="175"/>
      <c r="G181" s="174" t="s">
        <v>177</v>
      </c>
      <c r="H181" s="92">
        <f>SUM(H180:H180)</f>
        <v>4.4369999999999994</v>
      </c>
    </row>
    <row r="182" spans="1:8" hidden="1">
      <c r="A182" s="954" t="s">
        <v>257</v>
      </c>
      <c r="B182" s="954"/>
      <c r="C182" s="956" t="s">
        <v>4</v>
      </c>
      <c r="D182" s="956" t="s">
        <v>3</v>
      </c>
      <c r="E182" s="958" t="s">
        <v>258</v>
      </c>
      <c r="F182" s="958"/>
      <c r="G182" s="958"/>
      <c r="H182" s="959" t="s">
        <v>176</v>
      </c>
    </row>
    <row r="183" spans="1:8" hidden="1">
      <c r="A183" s="955"/>
      <c r="B183" s="955"/>
      <c r="C183" s="957"/>
      <c r="D183" s="957"/>
      <c r="E183" s="13" t="s">
        <v>259</v>
      </c>
      <c r="F183" s="13" t="s">
        <v>260</v>
      </c>
      <c r="G183" s="13" t="s">
        <v>261</v>
      </c>
      <c r="H183" s="960"/>
    </row>
    <row r="184" spans="1:8" ht="28.8" hidden="1">
      <c r="A184" s="99">
        <v>6416213</v>
      </c>
      <c r="B184" s="102" t="s">
        <v>379</v>
      </c>
      <c r="C184" s="180">
        <v>1.02</v>
      </c>
      <c r="D184" s="176" t="s">
        <v>262</v>
      </c>
      <c r="E184" s="956"/>
      <c r="F184" s="956"/>
      <c r="G184" s="176"/>
      <c r="H184" s="186">
        <f>C184*G184/2.5*30</f>
        <v>0</v>
      </c>
    </row>
    <row r="185" spans="1:8" hidden="1">
      <c r="A185" s="11"/>
      <c r="B185" s="11"/>
      <c r="C185" s="13"/>
      <c r="D185" s="13"/>
      <c r="E185" s="13"/>
      <c r="F185" s="13"/>
      <c r="G185" s="171" t="s">
        <v>263</v>
      </c>
      <c r="H185" s="183">
        <f>SUM(H184:H184)</f>
        <v>0</v>
      </c>
    </row>
    <row r="186" spans="1:8" hidden="1">
      <c r="A186" s="11"/>
      <c r="B186" s="11"/>
      <c r="C186" s="13"/>
      <c r="D186" s="13"/>
      <c r="E186" s="13"/>
      <c r="F186" s="13"/>
      <c r="G186" s="171" t="s">
        <v>178</v>
      </c>
      <c r="H186" s="181" t="e">
        <f>H181+H178+H185</f>
        <v>#REF!</v>
      </c>
    </row>
    <row r="187" spans="1:8" hidden="1">
      <c r="C187" s="175"/>
      <c r="D187" s="175"/>
      <c r="E187" s="175"/>
      <c r="F187" s="175"/>
      <c r="G187" s="175"/>
    </row>
    <row r="188" spans="1:8" hidden="1">
      <c r="C188" s="175"/>
      <c r="D188" s="175"/>
      <c r="E188" s="175"/>
      <c r="F188" s="175"/>
      <c r="G188" s="174" t="s">
        <v>178</v>
      </c>
      <c r="H188" s="91" t="e">
        <f>ROUNDUP(H186,2)</f>
        <v>#REF!</v>
      </c>
    </row>
    <row r="189" spans="1:8" hidden="1">
      <c r="C189" s="175"/>
      <c r="D189" s="175"/>
      <c r="E189" s="175"/>
      <c r="F189" s="175"/>
      <c r="G189" s="175"/>
    </row>
    <row r="190" spans="1:8" hidden="1">
      <c r="C190" s="175"/>
      <c r="D190" s="175"/>
      <c r="E190" s="175"/>
      <c r="F190" s="175"/>
      <c r="G190" s="175"/>
    </row>
    <row r="191" spans="1:8" hidden="1">
      <c r="C191" s="175"/>
      <c r="D191" s="175"/>
      <c r="E191" s="175"/>
      <c r="F191" s="175"/>
      <c r="G191" s="175"/>
    </row>
  </sheetData>
  <mergeCells count="167">
    <mergeCell ref="E71:F71"/>
    <mergeCell ref="F66:G66"/>
    <mergeCell ref="G52:H52"/>
    <mergeCell ref="E56:F56"/>
    <mergeCell ref="G56:H56"/>
    <mergeCell ref="G59:H59"/>
    <mergeCell ref="E61:F61"/>
    <mergeCell ref="G61:H61"/>
    <mergeCell ref="G62:H62"/>
    <mergeCell ref="F65:G65"/>
    <mergeCell ref="G63:H63"/>
    <mergeCell ref="F67:G67"/>
    <mergeCell ref="G53:H53"/>
    <mergeCell ref="E57:F57"/>
    <mergeCell ref="G57:H57"/>
    <mergeCell ref="E58:F58"/>
    <mergeCell ref="G58:H58"/>
    <mergeCell ref="A69:B70"/>
    <mergeCell ref="C69:C70"/>
    <mergeCell ref="D69:D70"/>
    <mergeCell ref="E69:G69"/>
    <mergeCell ref="H69:H70"/>
    <mergeCell ref="A44:B45"/>
    <mergeCell ref="C44:C45"/>
    <mergeCell ref="D44:E44"/>
    <mergeCell ref="F44:G44"/>
    <mergeCell ref="H44:H45"/>
    <mergeCell ref="E50:F50"/>
    <mergeCell ref="G50:H50"/>
    <mergeCell ref="G51:H51"/>
    <mergeCell ref="E51:F51"/>
    <mergeCell ref="A84:B85"/>
    <mergeCell ref="A4:B5"/>
    <mergeCell ref="C4:C5"/>
    <mergeCell ref="D4:E4"/>
    <mergeCell ref="F4:G4"/>
    <mergeCell ref="H4:H5"/>
    <mergeCell ref="E8:F8"/>
    <mergeCell ref="G8:H8"/>
    <mergeCell ref="E10:F10"/>
    <mergeCell ref="G11:H11"/>
    <mergeCell ref="G12:H12"/>
    <mergeCell ref="E15:F15"/>
    <mergeCell ref="G15:H15"/>
    <mergeCell ref="E16:F16"/>
    <mergeCell ref="G16:H16"/>
    <mergeCell ref="E17:F17"/>
    <mergeCell ref="G17:H17"/>
    <mergeCell ref="G20:H20"/>
    <mergeCell ref="E22:F22"/>
    <mergeCell ref="G22:H22"/>
    <mergeCell ref="G10:H10"/>
    <mergeCell ref="G24:H24"/>
    <mergeCell ref="G25:H25"/>
    <mergeCell ref="F27:G27"/>
    <mergeCell ref="A115:B116"/>
    <mergeCell ref="C115:C116"/>
    <mergeCell ref="D115:E115"/>
    <mergeCell ref="F115:G115"/>
    <mergeCell ref="G98:H98"/>
    <mergeCell ref="F104:G104"/>
    <mergeCell ref="F105:G105"/>
    <mergeCell ref="G92:H92"/>
    <mergeCell ref="G93:H93"/>
    <mergeCell ref="E96:F96"/>
    <mergeCell ref="G96:H96"/>
    <mergeCell ref="A107:B108"/>
    <mergeCell ref="G126:H126"/>
    <mergeCell ref="E129:F129"/>
    <mergeCell ref="G129:H129"/>
    <mergeCell ref="H115:H116"/>
    <mergeCell ref="E123:F123"/>
    <mergeCell ref="G123:H123"/>
    <mergeCell ref="E124:F124"/>
    <mergeCell ref="G124:H124"/>
    <mergeCell ref="G125:H125"/>
    <mergeCell ref="E136:F136"/>
    <mergeCell ref="G137:H137"/>
    <mergeCell ref="F142:G142"/>
    <mergeCell ref="F143:G143"/>
    <mergeCell ref="F144:G144"/>
    <mergeCell ref="H146:H147"/>
    <mergeCell ref="G175:H175"/>
    <mergeCell ref="G177:H177"/>
    <mergeCell ref="G173:H173"/>
    <mergeCell ref="D158:E158"/>
    <mergeCell ref="F158:G158"/>
    <mergeCell ref="H158:H159"/>
    <mergeCell ref="E166:F166"/>
    <mergeCell ref="G166:H166"/>
    <mergeCell ref="G167:H167"/>
    <mergeCell ref="E165:F165"/>
    <mergeCell ref="G165:H165"/>
    <mergeCell ref="G136:H136"/>
    <mergeCell ref="F139:G139"/>
    <mergeCell ref="F140:G140"/>
    <mergeCell ref="F141:G141"/>
    <mergeCell ref="G130:H130"/>
    <mergeCell ref="G131:H131"/>
    <mergeCell ref="G132:H132"/>
    <mergeCell ref="G135:H135"/>
    <mergeCell ref="E130:F130"/>
    <mergeCell ref="E131:F131"/>
    <mergeCell ref="E135:F135"/>
    <mergeCell ref="E132:F132"/>
    <mergeCell ref="E133:F133"/>
    <mergeCell ref="G133:H133"/>
    <mergeCell ref="E134:F134"/>
    <mergeCell ref="G134:H134"/>
    <mergeCell ref="H182:H183"/>
    <mergeCell ref="E184:F184"/>
    <mergeCell ref="E152:F152"/>
    <mergeCell ref="D146:D147"/>
    <mergeCell ref="C146:C147"/>
    <mergeCell ref="A146:B147"/>
    <mergeCell ref="E146:G146"/>
    <mergeCell ref="E148:F151"/>
    <mergeCell ref="A182:B183"/>
    <mergeCell ref="C182:C183"/>
    <mergeCell ref="D182:D183"/>
    <mergeCell ref="E182:G182"/>
    <mergeCell ref="G168:H168"/>
    <mergeCell ref="E172:F172"/>
    <mergeCell ref="G172:H172"/>
    <mergeCell ref="E175:F175"/>
    <mergeCell ref="E176:F176"/>
    <mergeCell ref="G176:H176"/>
    <mergeCell ref="F179:G179"/>
    <mergeCell ref="F180:G180"/>
    <mergeCell ref="A158:B159"/>
    <mergeCell ref="C158:C159"/>
    <mergeCell ref="C84:C85"/>
    <mergeCell ref="D84:E84"/>
    <mergeCell ref="F84:G84"/>
    <mergeCell ref="H84:H85"/>
    <mergeCell ref="E90:F90"/>
    <mergeCell ref="G90:H90"/>
    <mergeCell ref="E91:F91"/>
    <mergeCell ref="G91:H91"/>
    <mergeCell ref="E109:F109"/>
    <mergeCell ref="E100:F100"/>
    <mergeCell ref="G100:H100"/>
    <mergeCell ref="C107:C108"/>
    <mergeCell ref="D107:D108"/>
    <mergeCell ref="E107:G107"/>
    <mergeCell ref="H107:H108"/>
    <mergeCell ref="E97:F97"/>
    <mergeCell ref="G97:H97"/>
    <mergeCell ref="G101:H101"/>
    <mergeCell ref="G102:H102"/>
    <mergeCell ref="A33:B34"/>
    <mergeCell ref="C33:C34"/>
    <mergeCell ref="D33:D34"/>
    <mergeCell ref="E33:G33"/>
    <mergeCell ref="H33:H34"/>
    <mergeCell ref="E35:F35"/>
    <mergeCell ref="E9:F9"/>
    <mergeCell ref="G9:H9"/>
    <mergeCell ref="E18:F18"/>
    <mergeCell ref="G18:H18"/>
    <mergeCell ref="E19:F19"/>
    <mergeCell ref="G19:H19"/>
    <mergeCell ref="E23:F23"/>
    <mergeCell ref="F28:G28"/>
    <mergeCell ref="F29:G29"/>
    <mergeCell ref="F30:G30"/>
    <mergeCell ref="F31:G31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80" orientation="landscape" r:id="rId1"/>
  <rowBreaks count="3" manualBreakCount="3">
    <brk id="80" max="7" man="1"/>
    <brk id="111" max="7" man="1"/>
    <brk id="15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I180"/>
  <sheetViews>
    <sheetView showGridLines="0" view="pageBreakPreview" zoomScaleNormal="85" zoomScaleSheetLayoutView="100" workbookViewId="0">
      <pane ySplit="1" topLeftCell="A2" activePane="bottomLeft" state="frozen"/>
      <selection activeCell="D21" sqref="D21"/>
      <selection pane="bottomLeft" activeCell="D21" sqref="D21"/>
    </sheetView>
  </sheetViews>
  <sheetFormatPr defaultColWidth="9.109375" defaultRowHeight="14.4"/>
  <cols>
    <col min="1" max="1" width="26.44140625" style="28" customWidth="1"/>
    <col min="2" max="2" width="21.109375" style="28" customWidth="1"/>
    <col min="3" max="3" width="29.33203125" style="28" customWidth="1"/>
    <col min="4" max="4" width="17.44140625" style="28" customWidth="1"/>
    <col min="5" max="5" width="17" style="28" customWidth="1"/>
    <col min="6" max="6" width="24.6640625" style="576" customWidth="1"/>
    <col min="7" max="16384" width="9.109375" style="28"/>
  </cols>
  <sheetData>
    <row r="1" spans="1:7" ht="38.25" customHeight="1">
      <c r="A1" s="987"/>
      <c r="B1" s="987" t="s">
        <v>447</v>
      </c>
      <c r="C1" s="987"/>
      <c r="D1" s="987"/>
      <c r="E1" s="987"/>
      <c r="F1" s="987"/>
    </row>
    <row r="2" spans="1:7">
      <c r="A2" s="987"/>
      <c r="B2" s="988" t="str">
        <f>PAVIM.!G2</f>
        <v>PREFEITURA MUNICIPAL DE MARACAJÁ</v>
      </c>
      <c r="C2" s="988"/>
      <c r="D2" s="988" t="str">
        <f>PAVIM.!I2</f>
        <v>BAIRRO: VILA BEATRIZ</v>
      </c>
      <c r="E2" s="988"/>
      <c r="F2" s="569" t="str">
        <f>PAVIM.!M2</f>
        <v>ESTADO: SANTA CATARINA</v>
      </c>
    </row>
    <row r="3" spans="1:7">
      <c r="A3" s="987"/>
      <c r="B3" s="989" t="str">
        <f>PAVIM.!G3</f>
        <v>RUA JOSÉ MARQUES, RUA VEREADOR FLÁVIO ROCHA, RUA 156 e RUA CRICIÚMA</v>
      </c>
      <c r="C3" s="989"/>
      <c r="D3" s="990" t="str">
        <f>PAVIM.!K2</f>
        <v>MUNICIPIO: MARACAJÁ</v>
      </c>
      <c r="E3" s="988"/>
      <c r="F3" s="403" t="str">
        <f ca="1">PAVIM.!M3</f>
        <v>DATA: 15/10/24</v>
      </c>
    </row>
    <row r="4" spans="1:7" ht="12.75" hidden="1" customHeight="1">
      <c r="A4" s="366"/>
      <c r="B4" s="405"/>
      <c r="C4" s="405"/>
      <c r="D4" s="405"/>
      <c r="E4" s="405"/>
      <c r="F4" s="406"/>
    </row>
    <row r="5" spans="1:7" hidden="1">
      <c r="A5" s="562" t="s">
        <v>122</v>
      </c>
      <c r="B5" s="563" t="s">
        <v>527</v>
      </c>
      <c r="C5" s="563"/>
      <c r="D5" s="563"/>
      <c r="E5" s="563"/>
      <c r="F5" s="513" t="s">
        <v>528</v>
      </c>
    </row>
    <row r="6" spans="1:7" hidden="1">
      <c r="A6" s="550" t="s">
        <v>123</v>
      </c>
      <c r="B6" s="550" t="s">
        <v>124</v>
      </c>
      <c r="C6" s="550" t="s">
        <v>125</v>
      </c>
      <c r="D6" s="550" t="s">
        <v>126</v>
      </c>
      <c r="E6" s="550" t="s">
        <v>127</v>
      </c>
      <c r="F6" s="550" t="s">
        <v>354</v>
      </c>
    </row>
    <row r="7" spans="1:7" ht="15" hidden="1" customHeight="1">
      <c r="A7" s="244" t="s">
        <v>529</v>
      </c>
      <c r="B7" s="244" t="s">
        <v>530</v>
      </c>
      <c r="C7" s="243">
        <v>45149</v>
      </c>
      <c r="D7" s="244" t="s">
        <v>531</v>
      </c>
      <c r="E7" s="244" t="s">
        <v>532</v>
      </c>
      <c r="F7" s="551"/>
      <c r="G7" s="526"/>
    </row>
    <row r="8" spans="1:7" hidden="1">
      <c r="A8" s="244" t="s">
        <v>533</v>
      </c>
      <c r="B8" s="244" t="s">
        <v>534</v>
      </c>
      <c r="C8" s="243">
        <v>45149</v>
      </c>
      <c r="D8" s="244" t="s">
        <v>535</v>
      </c>
      <c r="E8" s="244" t="s">
        <v>536</v>
      </c>
      <c r="F8" s="564"/>
    </row>
    <row r="9" spans="1:7" ht="15" hidden="1" customHeight="1">
      <c r="A9" s="244" t="s">
        <v>537</v>
      </c>
      <c r="B9" s="244" t="s">
        <v>538</v>
      </c>
      <c r="C9" s="243">
        <v>45149</v>
      </c>
      <c r="D9" s="244" t="s">
        <v>539</v>
      </c>
      <c r="E9" s="244" t="s">
        <v>540</v>
      </c>
      <c r="F9" s="564">
        <v>40</v>
      </c>
    </row>
    <row r="10" spans="1:7" hidden="1">
      <c r="A10" s="244" t="s">
        <v>541</v>
      </c>
      <c r="B10" s="244" t="s">
        <v>542</v>
      </c>
      <c r="C10" s="243">
        <v>45149</v>
      </c>
      <c r="D10" s="244" t="s">
        <v>543</v>
      </c>
      <c r="E10" s="244" t="s">
        <v>544</v>
      </c>
      <c r="F10" s="564">
        <v>56</v>
      </c>
    </row>
    <row r="11" spans="1:7" hidden="1">
      <c r="A11" s="244" t="s">
        <v>545</v>
      </c>
      <c r="B11" s="244" t="s">
        <v>546</v>
      </c>
      <c r="C11" s="243">
        <v>45149</v>
      </c>
      <c r="D11" s="244" t="s">
        <v>547</v>
      </c>
      <c r="E11" s="244" t="s">
        <v>548</v>
      </c>
      <c r="F11" s="564">
        <v>62</v>
      </c>
    </row>
    <row r="12" spans="1:7" hidden="1">
      <c r="A12" s="527" t="s">
        <v>128</v>
      </c>
      <c r="B12" s="316">
        <v>45333</v>
      </c>
      <c r="C12" s="528"/>
      <c r="D12" s="992" t="s">
        <v>444</v>
      </c>
      <c r="E12" s="992"/>
      <c r="F12" s="572">
        <f>TRUNC(MEDIAN(F7:F11),2)</f>
        <v>56</v>
      </c>
    </row>
    <row r="13" spans="1:7">
      <c r="A13" s="529"/>
      <c r="B13" s="382"/>
      <c r="C13" s="382"/>
      <c r="D13" s="382"/>
      <c r="E13" s="382"/>
      <c r="F13" s="570"/>
      <c r="G13" s="530"/>
    </row>
    <row r="14" spans="1:7" hidden="1">
      <c r="A14" s="553" t="s">
        <v>122</v>
      </c>
      <c r="B14" s="512" t="s">
        <v>549</v>
      </c>
      <c r="C14" s="512"/>
      <c r="D14" s="512"/>
      <c r="E14" s="512"/>
      <c r="F14" s="513" t="s">
        <v>528</v>
      </c>
      <c r="G14" s="530"/>
    </row>
    <row r="15" spans="1:7" hidden="1">
      <c r="A15" s="550" t="s">
        <v>123</v>
      </c>
      <c r="B15" s="550" t="s">
        <v>124</v>
      </c>
      <c r="C15" s="550" t="s">
        <v>125</v>
      </c>
      <c r="D15" s="550" t="s">
        <v>126</v>
      </c>
      <c r="E15" s="550" t="s">
        <v>127</v>
      </c>
      <c r="F15" s="550" t="s">
        <v>354</v>
      </c>
      <c r="G15" s="530"/>
    </row>
    <row r="16" spans="1:7" hidden="1">
      <c r="A16" s="244" t="s">
        <v>529</v>
      </c>
      <c r="B16" s="244" t="s">
        <v>530</v>
      </c>
      <c r="C16" s="243">
        <v>45149</v>
      </c>
      <c r="D16" s="244" t="s">
        <v>531</v>
      </c>
      <c r="E16" s="244" t="s">
        <v>532</v>
      </c>
      <c r="F16" s="551"/>
    </row>
    <row r="17" spans="1:7" hidden="1">
      <c r="A17" s="244" t="s">
        <v>533</v>
      </c>
      <c r="B17" s="244" t="s">
        <v>534</v>
      </c>
      <c r="C17" s="243">
        <v>45149</v>
      </c>
      <c r="D17" s="244" t="s">
        <v>535</v>
      </c>
      <c r="E17" s="244" t="s">
        <v>536</v>
      </c>
      <c r="F17" s="564">
        <v>71.83</v>
      </c>
    </row>
    <row r="18" spans="1:7" hidden="1">
      <c r="A18" s="244" t="s">
        <v>537</v>
      </c>
      <c r="B18" s="244" t="s">
        <v>538</v>
      </c>
      <c r="C18" s="243">
        <v>45149</v>
      </c>
      <c r="D18" s="244" t="s">
        <v>539</v>
      </c>
      <c r="E18" s="244" t="s">
        <v>540</v>
      </c>
      <c r="F18" s="564">
        <v>55</v>
      </c>
    </row>
    <row r="19" spans="1:7" hidden="1">
      <c r="A19" s="244" t="s">
        <v>541</v>
      </c>
      <c r="B19" s="244" t="s">
        <v>542</v>
      </c>
      <c r="C19" s="243">
        <v>45149</v>
      </c>
      <c r="D19" s="244" t="s">
        <v>543</v>
      </c>
      <c r="E19" s="244" t="s">
        <v>544</v>
      </c>
      <c r="F19" s="564">
        <v>86</v>
      </c>
    </row>
    <row r="20" spans="1:7" hidden="1">
      <c r="A20" s="244" t="s">
        <v>550</v>
      </c>
      <c r="B20" s="244" t="s">
        <v>546</v>
      </c>
      <c r="C20" s="243">
        <v>45149</v>
      </c>
      <c r="D20" s="244" t="s">
        <v>547</v>
      </c>
      <c r="E20" s="244" t="s">
        <v>548</v>
      </c>
      <c r="F20" s="564">
        <v>90</v>
      </c>
    </row>
    <row r="21" spans="1:7" hidden="1">
      <c r="A21" s="531" t="s">
        <v>128</v>
      </c>
      <c r="B21" s="316">
        <v>45149</v>
      </c>
      <c r="C21" s="532"/>
      <c r="D21" s="992" t="s">
        <v>444</v>
      </c>
      <c r="E21" s="992"/>
      <c r="F21" s="552">
        <f>TRUNC(MEDIAN(F16:F20),2)</f>
        <v>78.91</v>
      </c>
    </row>
    <row r="22" spans="1:7" hidden="1">
      <c r="A22" s="533"/>
      <c r="B22" s="534"/>
      <c r="C22" s="534"/>
      <c r="D22" s="534"/>
      <c r="E22" s="534"/>
      <c r="F22" s="571"/>
      <c r="G22" s="530"/>
    </row>
    <row r="23" spans="1:7" hidden="1">
      <c r="A23" s="553" t="s">
        <v>122</v>
      </c>
      <c r="B23" s="512" t="s">
        <v>551</v>
      </c>
      <c r="C23" s="512"/>
      <c r="D23" s="512"/>
      <c r="E23" s="512"/>
      <c r="F23" s="513" t="s">
        <v>528</v>
      </c>
      <c r="G23" s="530"/>
    </row>
    <row r="24" spans="1:7" hidden="1">
      <c r="A24" s="550" t="s">
        <v>123</v>
      </c>
      <c r="B24" s="550" t="s">
        <v>124</v>
      </c>
      <c r="C24" s="550" t="s">
        <v>125</v>
      </c>
      <c r="D24" s="550" t="s">
        <v>126</v>
      </c>
      <c r="E24" s="550" t="s">
        <v>127</v>
      </c>
      <c r="F24" s="515" t="s">
        <v>354</v>
      </c>
      <c r="G24" s="530"/>
    </row>
    <row r="25" spans="1:7" hidden="1">
      <c r="A25" s="244" t="s">
        <v>529</v>
      </c>
      <c r="B25" s="244" t="s">
        <v>530</v>
      </c>
      <c r="C25" s="243">
        <v>45149</v>
      </c>
      <c r="D25" s="244" t="s">
        <v>531</v>
      </c>
      <c r="E25" s="244" t="s">
        <v>532</v>
      </c>
      <c r="F25" s="551"/>
    </row>
    <row r="26" spans="1:7" hidden="1">
      <c r="A26" s="244" t="s">
        <v>533</v>
      </c>
      <c r="B26" s="244" t="s">
        <v>534</v>
      </c>
      <c r="C26" s="243">
        <v>45149</v>
      </c>
      <c r="D26" s="244" t="s">
        <v>535</v>
      </c>
      <c r="E26" s="244" t="s">
        <v>536</v>
      </c>
      <c r="F26" s="551"/>
    </row>
    <row r="27" spans="1:7" hidden="1">
      <c r="A27" s="244" t="s">
        <v>537</v>
      </c>
      <c r="B27" s="244" t="s">
        <v>538</v>
      </c>
      <c r="C27" s="243">
        <v>45149</v>
      </c>
      <c r="D27" s="244" t="s">
        <v>539</v>
      </c>
      <c r="E27" s="244" t="s">
        <v>540</v>
      </c>
      <c r="F27" s="564">
        <v>150</v>
      </c>
    </row>
    <row r="28" spans="1:7" hidden="1">
      <c r="A28" s="244" t="s">
        <v>541</v>
      </c>
      <c r="B28" s="244" t="s">
        <v>542</v>
      </c>
      <c r="C28" s="243">
        <v>45149</v>
      </c>
      <c r="D28" s="244" t="s">
        <v>543</v>
      </c>
      <c r="E28" s="244" t="s">
        <v>544</v>
      </c>
      <c r="F28" s="564">
        <v>213</v>
      </c>
    </row>
    <row r="29" spans="1:7" hidden="1">
      <c r="A29" s="244" t="s">
        <v>550</v>
      </c>
      <c r="B29" s="244" t="s">
        <v>546</v>
      </c>
      <c r="C29" s="243">
        <v>45149</v>
      </c>
      <c r="D29" s="244" t="s">
        <v>547</v>
      </c>
      <c r="E29" s="244" t="s">
        <v>548</v>
      </c>
      <c r="F29" s="564">
        <v>180</v>
      </c>
    </row>
    <row r="30" spans="1:7" hidden="1">
      <c r="A30" s="531" t="s">
        <v>128</v>
      </c>
      <c r="B30" s="316">
        <v>45149</v>
      </c>
      <c r="C30" s="532"/>
      <c r="D30" s="992" t="s">
        <v>444</v>
      </c>
      <c r="E30" s="992"/>
      <c r="F30" s="552">
        <f>TRUNC(MEDIAN(F25:F29),2)</f>
        <v>180</v>
      </c>
    </row>
    <row r="31" spans="1:7" hidden="1">
      <c r="A31" s="533"/>
      <c r="B31" s="534"/>
      <c r="C31" s="534"/>
      <c r="D31" s="534"/>
      <c r="E31" s="534"/>
      <c r="F31" s="571"/>
    </row>
    <row r="32" spans="1:7" hidden="1">
      <c r="A32" s="553" t="s">
        <v>122</v>
      </c>
      <c r="B32" s="512" t="s">
        <v>552</v>
      </c>
      <c r="C32" s="512"/>
      <c r="D32" s="512"/>
      <c r="E32" s="512"/>
      <c r="F32" s="513" t="s">
        <v>528</v>
      </c>
      <c r="G32" s="530"/>
    </row>
    <row r="33" spans="1:9" hidden="1">
      <c r="A33" s="550" t="s">
        <v>123</v>
      </c>
      <c r="B33" s="550" t="s">
        <v>124</v>
      </c>
      <c r="C33" s="550" t="s">
        <v>125</v>
      </c>
      <c r="D33" s="550" t="s">
        <v>126</v>
      </c>
      <c r="E33" s="550" t="s">
        <v>127</v>
      </c>
      <c r="F33" s="515" t="s">
        <v>354</v>
      </c>
      <c r="G33" s="530"/>
    </row>
    <row r="34" spans="1:9" hidden="1">
      <c r="A34" s="244" t="s">
        <v>529</v>
      </c>
      <c r="B34" s="244" t="s">
        <v>530</v>
      </c>
      <c r="C34" s="243">
        <v>45149</v>
      </c>
      <c r="D34" s="244" t="s">
        <v>531</v>
      </c>
      <c r="E34" s="244" t="s">
        <v>532</v>
      </c>
      <c r="F34" s="551"/>
    </row>
    <row r="35" spans="1:9" hidden="1">
      <c r="A35" s="244" t="s">
        <v>533</v>
      </c>
      <c r="B35" s="244" t="s">
        <v>534</v>
      </c>
      <c r="C35" s="243">
        <v>45149</v>
      </c>
      <c r="D35" s="244" t="s">
        <v>535</v>
      </c>
      <c r="E35" s="244" t="s">
        <v>536</v>
      </c>
      <c r="F35" s="564">
        <v>267.27</v>
      </c>
    </row>
    <row r="36" spans="1:9" hidden="1">
      <c r="A36" s="244" t="s">
        <v>537</v>
      </c>
      <c r="B36" s="244" t="s">
        <v>538</v>
      </c>
      <c r="C36" s="243">
        <v>45149</v>
      </c>
      <c r="D36" s="244" t="s">
        <v>539</v>
      </c>
      <c r="E36" s="244" t="s">
        <v>540</v>
      </c>
      <c r="F36" s="564">
        <v>225</v>
      </c>
    </row>
    <row r="37" spans="1:9" hidden="1">
      <c r="A37" s="244" t="s">
        <v>541</v>
      </c>
      <c r="B37" s="244" t="s">
        <v>542</v>
      </c>
      <c r="C37" s="243">
        <v>45149</v>
      </c>
      <c r="D37" s="244" t="s">
        <v>543</v>
      </c>
      <c r="E37" s="244" t="s">
        <v>544</v>
      </c>
      <c r="F37" s="564">
        <v>265</v>
      </c>
    </row>
    <row r="38" spans="1:9" hidden="1">
      <c r="A38" s="244" t="s">
        <v>550</v>
      </c>
      <c r="B38" s="244" t="s">
        <v>546</v>
      </c>
      <c r="C38" s="243">
        <v>45149</v>
      </c>
      <c r="D38" s="244" t="s">
        <v>547</v>
      </c>
      <c r="E38" s="244" t="s">
        <v>548</v>
      </c>
      <c r="F38" s="564">
        <v>280</v>
      </c>
    </row>
    <row r="39" spans="1:9" hidden="1">
      <c r="A39" s="531" t="s">
        <v>128</v>
      </c>
      <c r="B39" s="316">
        <v>45149</v>
      </c>
      <c r="C39" s="532"/>
      <c r="D39" s="992" t="s">
        <v>444</v>
      </c>
      <c r="E39" s="992"/>
      <c r="F39" s="552">
        <f>TRUNC(MEDIAN(F34:F38),2)</f>
        <v>266.13</v>
      </c>
    </row>
    <row r="40" spans="1:9" ht="15" hidden="1" customHeight="1">
      <c r="A40" s="533"/>
      <c r="B40" s="534"/>
      <c r="C40" s="534"/>
      <c r="D40" s="534"/>
      <c r="E40" s="534"/>
      <c r="F40" s="571"/>
    </row>
    <row r="41" spans="1:9" ht="15" hidden="1" customHeight="1">
      <c r="A41" s="553" t="s">
        <v>122</v>
      </c>
      <c r="B41" s="512" t="s">
        <v>553</v>
      </c>
      <c r="C41" s="512"/>
      <c r="D41" s="512"/>
      <c r="E41" s="555"/>
      <c r="F41" s="556" t="s">
        <v>528</v>
      </c>
    </row>
    <row r="42" spans="1:9" ht="15" hidden="1" customHeight="1">
      <c r="A42" s="514" t="s">
        <v>123</v>
      </c>
      <c r="B42" s="514" t="s">
        <v>124</v>
      </c>
      <c r="C42" s="514" t="s">
        <v>125</v>
      </c>
      <c r="D42" s="514" t="s">
        <v>126</v>
      </c>
      <c r="E42" s="514" t="s">
        <v>127</v>
      </c>
      <c r="F42" s="514" t="s">
        <v>354</v>
      </c>
    </row>
    <row r="43" spans="1:9" ht="15" hidden="1" customHeight="1">
      <c r="A43" s="244" t="s">
        <v>529</v>
      </c>
      <c r="B43" s="244" t="s">
        <v>530</v>
      </c>
      <c r="C43" s="243">
        <v>44503</v>
      </c>
      <c r="D43" s="244" t="s">
        <v>531</v>
      </c>
      <c r="E43" s="244" t="s">
        <v>532</v>
      </c>
      <c r="F43" s="551">
        <v>22.5</v>
      </c>
    </row>
    <row r="44" spans="1:9" ht="15" hidden="1" customHeight="1">
      <c r="A44" s="244" t="s">
        <v>533</v>
      </c>
      <c r="B44" s="244" t="s">
        <v>534</v>
      </c>
      <c r="C44" s="243">
        <v>44503</v>
      </c>
      <c r="D44" s="244" t="s">
        <v>535</v>
      </c>
      <c r="E44" s="244" t="s">
        <v>536</v>
      </c>
      <c r="F44" s="551">
        <v>27.84</v>
      </c>
    </row>
    <row r="45" spans="1:9" ht="15" hidden="1" customHeight="1">
      <c r="A45" s="244" t="s">
        <v>537</v>
      </c>
      <c r="B45" s="244" t="s">
        <v>538</v>
      </c>
      <c r="C45" s="243">
        <v>44503</v>
      </c>
      <c r="D45" s="244" t="s">
        <v>539</v>
      </c>
      <c r="E45" s="244" t="s">
        <v>540</v>
      </c>
      <c r="F45" s="551">
        <v>23</v>
      </c>
    </row>
    <row r="46" spans="1:9" ht="15" hidden="1" customHeight="1">
      <c r="A46" s="535" t="s">
        <v>128</v>
      </c>
      <c r="B46" s="536">
        <v>44503</v>
      </c>
      <c r="C46" s="537"/>
      <c r="D46" s="993" t="s">
        <v>444</v>
      </c>
      <c r="E46" s="992"/>
      <c r="F46" s="554">
        <f>MEDIAN(F43:F45)</f>
        <v>23</v>
      </c>
      <c r="G46" s="538"/>
      <c r="H46" s="538"/>
      <c r="I46" s="539"/>
    </row>
    <row r="47" spans="1:9" hidden="1">
      <c r="A47" s="533"/>
      <c r="B47" s="534"/>
      <c r="C47" s="534"/>
      <c r="D47" s="534"/>
      <c r="E47" s="534"/>
      <c r="F47" s="571"/>
    </row>
    <row r="48" spans="1:9" hidden="1">
      <c r="A48" s="553" t="s">
        <v>122</v>
      </c>
      <c r="B48" s="512" t="s">
        <v>554</v>
      </c>
      <c r="C48" s="512"/>
      <c r="D48" s="512"/>
      <c r="E48" s="512"/>
      <c r="F48" s="513" t="s">
        <v>528</v>
      </c>
      <c r="G48" s="530"/>
    </row>
    <row r="49" spans="1:7" hidden="1">
      <c r="A49" s="550" t="s">
        <v>123</v>
      </c>
      <c r="B49" s="550" t="s">
        <v>124</v>
      </c>
      <c r="C49" s="550" t="s">
        <v>125</v>
      </c>
      <c r="D49" s="550" t="s">
        <v>126</v>
      </c>
      <c r="E49" s="550" t="s">
        <v>127</v>
      </c>
      <c r="F49" s="515" t="s">
        <v>354</v>
      </c>
      <c r="G49" s="530"/>
    </row>
    <row r="50" spans="1:7" hidden="1">
      <c r="A50" s="244" t="s">
        <v>529</v>
      </c>
      <c r="B50" s="244" t="s">
        <v>530</v>
      </c>
      <c r="C50" s="243">
        <v>45149</v>
      </c>
      <c r="D50" s="244" t="s">
        <v>531</v>
      </c>
      <c r="E50" s="244" t="s">
        <v>532</v>
      </c>
      <c r="F50" s="551"/>
    </row>
    <row r="51" spans="1:7" hidden="1">
      <c r="A51" s="244" t="s">
        <v>533</v>
      </c>
      <c r="B51" s="244" t="s">
        <v>534</v>
      </c>
      <c r="C51" s="243">
        <v>45149</v>
      </c>
      <c r="D51" s="244" t="s">
        <v>535</v>
      </c>
      <c r="E51" s="244" t="s">
        <v>536</v>
      </c>
      <c r="F51" s="564">
        <v>381.95</v>
      </c>
    </row>
    <row r="52" spans="1:7" hidden="1">
      <c r="A52" s="244" t="s">
        <v>537</v>
      </c>
      <c r="B52" s="244" t="s">
        <v>538</v>
      </c>
      <c r="C52" s="243">
        <v>45149</v>
      </c>
      <c r="D52" s="244" t="s">
        <v>539</v>
      </c>
      <c r="E52" s="244" t="s">
        <v>540</v>
      </c>
      <c r="F52" s="564">
        <v>285</v>
      </c>
    </row>
    <row r="53" spans="1:7" hidden="1">
      <c r="A53" s="244" t="s">
        <v>541</v>
      </c>
      <c r="B53" s="244" t="s">
        <v>542</v>
      </c>
      <c r="C53" s="243">
        <v>45149</v>
      </c>
      <c r="D53" s="244" t="s">
        <v>543</v>
      </c>
      <c r="E53" s="244" t="s">
        <v>544</v>
      </c>
      <c r="F53" s="564">
        <v>405</v>
      </c>
    </row>
    <row r="54" spans="1:7" hidden="1">
      <c r="A54" s="244" t="s">
        <v>550</v>
      </c>
      <c r="B54" s="244" t="s">
        <v>546</v>
      </c>
      <c r="C54" s="243">
        <v>45149</v>
      </c>
      <c r="D54" s="244" t="s">
        <v>547</v>
      </c>
      <c r="E54" s="244" t="s">
        <v>548</v>
      </c>
      <c r="F54" s="564">
        <v>380</v>
      </c>
    </row>
    <row r="55" spans="1:7" hidden="1">
      <c r="A55" s="531" t="s">
        <v>128</v>
      </c>
      <c r="B55" s="316">
        <v>45149</v>
      </c>
      <c r="C55" s="532"/>
      <c r="D55" s="992" t="s">
        <v>444</v>
      </c>
      <c r="E55" s="992"/>
      <c r="F55" s="552">
        <f>TRUNC(MEDIAN(F50:F54),2)</f>
        <v>380.97</v>
      </c>
    </row>
    <row r="56" spans="1:7" hidden="1">
      <c r="A56" s="540"/>
      <c r="B56" s="541"/>
      <c r="C56" s="542"/>
      <c r="D56" s="382"/>
      <c r="E56" s="382"/>
      <c r="F56" s="570"/>
    </row>
    <row r="57" spans="1:7">
      <c r="A57" s="553" t="s">
        <v>122</v>
      </c>
      <c r="B57" s="512" t="s">
        <v>555</v>
      </c>
      <c r="C57" s="512"/>
      <c r="D57" s="512"/>
      <c r="E57" s="512"/>
      <c r="F57" s="513" t="s">
        <v>556</v>
      </c>
    </row>
    <row r="58" spans="1:7">
      <c r="A58" s="550" t="s">
        <v>123</v>
      </c>
      <c r="B58" s="550" t="s">
        <v>124</v>
      </c>
      <c r="C58" s="550" t="s">
        <v>125</v>
      </c>
      <c r="D58" s="550" t="s">
        <v>126</v>
      </c>
      <c r="E58" s="550" t="s">
        <v>127</v>
      </c>
      <c r="F58" s="515" t="s">
        <v>354</v>
      </c>
    </row>
    <row r="59" spans="1:7">
      <c r="A59" s="244" t="s">
        <v>557</v>
      </c>
      <c r="B59" s="244" t="s">
        <v>558</v>
      </c>
      <c r="C59" s="243">
        <v>45333</v>
      </c>
      <c r="D59" s="244" t="s">
        <v>559</v>
      </c>
      <c r="E59" s="244" t="s">
        <v>560</v>
      </c>
      <c r="F59" s="564">
        <v>89</v>
      </c>
    </row>
    <row r="60" spans="1:7" hidden="1">
      <c r="A60" s="244" t="s">
        <v>561</v>
      </c>
      <c r="B60" s="244" t="s">
        <v>562</v>
      </c>
      <c r="C60" s="243">
        <v>45149</v>
      </c>
      <c r="D60" s="244" t="s">
        <v>563</v>
      </c>
      <c r="E60" s="244" t="s">
        <v>564</v>
      </c>
      <c r="F60" s="551"/>
      <c r="G60" s="543"/>
    </row>
    <row r="61" spans="1:7" hidden="1">
      <c r="A61" s="244" t="s">
        <v>565</v>
      </c>
      <c r="B61" s="244" t="s">
        <v>566</v>
      </c>
      <c r="C61" s="243">
        <v>45149</v>
      </c>
      <c r="D61" s="244" t="s">
        <v>567</v>
      </c>
      <c r="E61" s="244" t="s">
        <v>568</v>
      </c>
      <c r="F61" s="551"/>
    </row>
    <row r="62" spans="1:7">
      <c r="A62" s="244" t="s">
        <v>569</v>
      </c>
      <c r="B62" s="244" t="s">
        <v>570</v>
      </c>
      <c r="C62" s="243">
        <v>45333</v>
      </c>
      <c r="D62" s="244" t="s">
        <v>571</v>
      </c>
      <c r="E62" s="244" t="s">
        <v>572</v>
      </c>
      <c r="F62" s="564">
        <v>100</v>
      </c>
    </row>
    <row r="63" spans="1:7">
      <c r="A63" s="244" t="s">
        <v>573</v>
      </c>
      <c r="B63" s="244" t="s">
        <v>574</v>
      </c>
      <c r="C63" s="243">
        <v>45333</v>
      </c>
      <c r="D63" s="244" t="s">
        <v>575</v>
      </c>
      <c r="E63" s="244" t="s">
        <v>576</v>
      </c>
      <c r="F63" s="564">
        <v>80.55</v>
      </c>
    </row>
    <row r="64" spans="1:7" hidden="1">
      <c r="A64" s="244" t="s">
        <v>577</v>
      </c>
      <c r="B64" s="244" t="s">
        <v>578</v>
      </c>
      <c r="C64" s="243">
        <v>45149</v>
      </c>
      <c r="D64" s="244" t="s">
        <v>579</v>
      </c>
      <c r="E64" s="244" t="s">
        <v>580</v>
      </c>
      <c r="F64" s="551"/>
    </row>
    <row r="65" spans="1:9">
      <c r="A65" s="527" t="s">
        <v>128</v>
      </c>
      <c r="B65" s="316">
        <v>45333</v>
      </c>
      <c r="C65" s="528"/>
      <c r="D65" s="992" t="s">
        <v>444</v>
      </c>
      <c r="E65" s="992"/>
      <c r="F65" s="572">
        <f>TRUNC(MEDIAN(F59:F64),2)</f>
        <v>89</v>
      </c>
      <c r="G65" s="538"/>
      <c r="H65" s="538"/>
      <c r="I65" s="539"/>
    </row>
    <row r="66" spans="1:9" ht="15" hidden="1" customHeight="1">
      <c r="A66" s="529"/>
      <c r="B66" s="382"/>
      <c r="C66" s="382"/>
      <c r="D66" s="382"/>
      <c r="E66" s="382"/>
      <c r="F66" s="570"/>
    </row>
    <row r="67" spans="1:9" ht="15" hidden="1" customHeight="1">
      <c r="A67" s="553" t="s">
        <v>122</v>
      </c>
      <c r="B67" s="991" t="s">
        <v>581</v>
      </c>
      <c r="C67" s="991"/>
      <c r="D67" s="512"/>
      <c r="E67" s="512"/>
      <c r="F67" s="513" t="s">
        <v>556</v>
      </c>
    </row>
    <row r="68" spans="1:9" ht="15" hidden="1" customHeight="1">
      <c r="A68" s="550" t="s">
        <v>123</v>
      </c>
      <c r="B68" s="550" t="s">
        <v>124</v>
      </c>
      <c r="C68" s="550" t="s">
        <v>125</v>
      </c>
      <c r="D68" s="550" t="s">
        <v>126</v>
      </c>
      <c r="E68" s="550" t="s">
        <v>127</v>
      </c>
      <c r="F68" s="515" t="s">
        <v>354</v>
      </c>
    </row>
    <row r="69" spans="1:9" ht="15" hidden="1" customHeight="1">
      <c r="A69" s="244" t="s">
        <v>557</v>
      </c>
      <c r="B69" s="244" t="s">
        <v>558</v>
      </c>
      <c r="C69" s="243">
        <v>45241</v>
      </c>
      <c r="D69" s="244" t="s">
        <v>582</v>
      </c>
      <c r="E69" s="244" t="s">
        <v>560</v>
      </c>
      <c r="F69" s="551"/>
      <c r="G69" s="538"/>
      <c r="H69" s="538"/>
    </row>
    <row r="70" spans="1:9" ht="15" hidden="1" customHeight="1">
      <c r="A70" s="244" t="s">
        <v>565</v>
      </c>
      <c r="B70" s="244" t="s">
        <v>566</v>
      </c>
      <c r="C70" s="243">
        <v>45241</v>
      </c>
      <c r="D70" s="244" t="s">
        <v>583</v>
      </c>
      <c r="E70" s="244" t="s">
        <v>568</v>
      </c>
      <c r="F70" s="557"/>
      <c r="G70" s="526"/>
    </row>
    <row r="71" spans="1:9" ht="15" hidden="1" customHeight="1">
      <c r="A71" s="244" t="s">
        <v>584</v>
      </c>
      <c r="B71" s="244" t="s">
        <v>585</v>
      </c>
      <c r="C71" s="243">
        <v>45241</v>
      </c>
      <c r="D71" s="244" t="s">
        <v>586</v>
      </c>
      <c r="E71" s="244" t="s">
        <v>587</v>
      </c>
      <c r="F71" s="551"/>
    </row>
    <row r="72" spans="1:9" ht="15" hidden="1" customHeight="1">
      <c r="A72" s="244" t="s">
        <v>561</v>
      </c>
      <c r="B72" s="244" t="s">
        <v>562</v>
      </c>
      <c r="C72" s="243">
        <v>45241</v>
      </c>
      <c r="D72" s="244" t="s">
        <v>563</v>
      </c>
      <c r="E72" s="244" t="s">
        <v>564</v>
      </c>
      <c r="F72" s="551"/>
      <c r="G72" s="543"/>
    </row>
    <row r="73" spans="1:9" ht="15" hidden="1" customHeight="1">
      <c r="A73" s="244" t="s">
        <v>569</v>
      </c>
      <c r="B73" s="244" t="s">
        <v>570</v>
      </c>
      <c r="C73" s="243">
        <v>45241</v>
      </c>
      <c r="D73" s="244" t="s">
        <v>571</v>
      </c>
      <c r="E73" s="244" t="s">
        <v>572</v>
      </c>
      <c r="F73" s="551"/>
    </row>
    <row r="74" spans="1:9" ht="15" hidden="1" customHeight="1">
      <c r="A74" s="244" t="s">
        <v>573</v>
      </c>
      <c r="B74" s="244" t="s">
        <v>574</v>
      </c>
      <c r="C74" s="243">
        <v>45241</v>
      </c>
      <c r="D74" s="244" t="s">
        <v>575</v>
      </c>
      <c r="E74" s="244" t="s">
        <v>576</v>
      </c>
      <c r="F74" s="551"/>
    </row>
    <row r="75" spans="1:9" ht="15" hidden="1" customHeight="1">
      <c r="A75" s="244" t="s">
        <v>577</v>
      </c>
      <c r="B75" s="244" t="s">
        <v>578</v>
      </c>
      <c r="C75" s="243">
        <v>45241</v>
      </c>
      <c r="D75" s="244" t="s">
        <v>579</v>
      </c>
      <c r="E75" s="244" t="s">
        <v>580</v>
      </c>
      <c r="F75" s="551"/>
    </row>
    <row r="76" spans="1:9" ht="15" hidden="1" customHeight="1">
      <c r="A76" s="527" t="s">
        <v>128</v>
      </c>
      <c r="B76" s="316">
        <v>44503</v>
      </c>
      <c r="C76" s="528"/>
      <c r="D76" s="992" t="s">
        <v>444</v>
      </c>
      <c r="E76" s="992"/>
      <c r="F76" s="554" t="e">
        <f>MEDIAN(F69:F75)</f>
        <v>#NUM!</v>
      </c>
    </row>
    <row r="77" spans="1:9" ht="15" hidden="1" customHeight="1">
      <c r="A77" s="540"/>
      <c r="B77" s="541"/>
      <c r="C77" s="541"/>
      <c r="D77" s="541"/>
      <c r="E77" s="541"/>
      <c r="F77" s="573"/>
    </row>
    <row r="78" spans="1:9" ht="15" hidden="1" customHeight="1">
      <c r="A78" s="553" t="s">
        <v>122</v>
      </c>
      <c r="B78" s="991" t="s">
        <v>588</v>
      </c>
      <c r="C78" s="991"/>
      <c r="D78" s="512"/>
      <c r="E78" s="512"/>
      <c r="F78" s="513" t="s">
        <v>556</v>
      </c>
    </row>
    <row r="79" spans="1:9" ht="15" hidden="1" customHeight="1">
      <c r="A79" s="550" t="s">
        <v>123</v>
      </c>
      <c r="B79" s="550" t="s">
        <v>124</v>
      </c>
      <c r="C79" s="550" t="s">
        <v>125</v>
      </c>
      <c r="D79" s="550" t="s">
        <v>126</v>
      </c>
      <c r="E79" s="550" t="s">
        <v>127</v>
      </c>
      <c r="F79" s="515" t="s">
        <v>354</v>
      </c>
    </row>
    <row r="80" spans="1:9" ht="15" hidden="1" customHeight="1">
      <c r="A80" s="244" t="s">
        <v>557</v>
      </c>
      <c r="B80" s="244" t="s">
        <v>558</v>
      </c>
      <c r="C80" s="243">
        <v>45241</v>
      </c>
      <c r="D80" s="244" t="s">
        <v>582</v>
      </c>
      <c r="E80" s="244" t="s">
        <v>560</v>
      </c>
      <c r="F80" s="551"/>
      <c r="G80" s="538"/>
      <c r="H80" s="538"/>
    </row>
    <row r="81" spans="1:8" ht="15" hidden="1" customHeight="1">
      <c r="A81" s="244" t="s">
        <v>565</v>
      </c>
      <c r="B81" s="244" t="s">
        <v>566</v>
      </c>
      <c r="C81" s="243">
        <v>45241</v>
      </c>
      <c r="D81" s="244" t="s">
        <v>583</v>
      </c>
      <c r="E81" s="244" t="s">
        <v>568</v>
      </c>
      <c r="F81" s="551"/>
    </row>
    <row r="82" spans="1:8" ht="15" hidden="1" customHeight="1">
      <c r="A82" s="244" t="s">
        <v>584</v>
      </c>
      <c r="B82" s="244" t="s">
        <v>585</v>
      </c>
      <c r="C82" s="243">
        <v>45241</v>
      </c>
      <c r="D82" s="244" t="s">
        <v>586</v>
      </c>
      <c r="E82" s="244" t="s">
        <v>587</v>
      </c>
      <c r="F82" s="551"/>
    </row>
    <row r="83" spans="1:8" ht="15" hidden="1" customHeight="1">
      <c r="A83" s="244" t="s">
        <v>561</v>
      </c>
      <c r="B83" s="244" t="s">
        <v>562</v>
      </c>
      <c r="C83" s="243">
        <v>45241</v>
      </c>
      <c r="D83" s="244" t="s">
        <v>563</v>
      </c>
      <c r="E83" s="244" t="s">
        <v>564</v>
      </c>
      <c r="F83" s="551"/>
      <c r="G83" s="543"/>
    </row>
    <row r="84" spans="1:8" ht="15" hidden="1" customHeight="1">
      <c r="A84" s="244" t="s">
        <v>569</v>
      </c>
      <c r="B84" s="244" t="s">
        <v>570</v>
      </c>
      <c r="C84" s="243">
        <v>45241</v>
      </c>
      <c r="D84" s="244" t="s">
        <v>571</v>
      </c>
      <c r="E84" s="244" t="s">
        <v>572</v>
      </c>
      <c r="F84" s="551"/>
    </row>
    <row r="85" spans="1:8" ht="15" hidden="1" customHeight="1">
      <c r="A85" s="244" t="s">
        <v>573</v>
      </c>
      <c r="B85" s="244" t="s">
        <v>574</v>
      </c>
      <c r="C85" s="243">
        <v>45241</v>
      </c>
      <c r="D85" s="244" t="s">
        <v>575</v>
      </c>
      <c r="E85" s="244" t="s">
        <v>576</v>
      </c>
      <c r="F85" s="551"/>
    </row>
    <row r="86" spans="1:8" ht="15" hidden="1" customHeight="1">
      <c r="A86" s="244" t="s">
        <v>577</v>
      </c>
      <c r="B86" s="244" t="s">
        <v>578</v>
      </c>
      <c r="C86" s="243">
        <v>45241</v>
      </c>
      <c r="D86" s="244" t="s">
        <v>579</v>
      </c>
      <c r="E86" s="244" t="s">
        <v>580</v>
      </c>
      <c r="F86" s="551"/>
    </row>
    <row r="87" spans="1:8" ht="15" hidden="1" customHeight="1">
      <c r="A87" s="527" t="s">
        <v>128</v>
      </c>
      <c r="B87" s="316">
        <v>44503</v>
      </c>
      <c r="C87" s="528"/>
      <c r="D87" s="992" t="s">
        <v>444</v>
      </c>
      <c r="E87" s="992"/>
      <c r="F87" s="554" t="e">
        <f>MEDIAN(F80:F86)</f>
        <v>#NUM!</v>
      </c>
    </row>
    <row r="88" spans="1:8" ht="15" hidden="1" customHeight="1">
      <c r="A88" s="540"/>
      <c r="B88" s="541"/>
      <c r="C88" s="541"/>
      <c r="D88" s="541"/>
      <c r="E88" s="541"/>
      <c r="F88" s="573"/>
    </row>
    <row r="89" spans="1:8" ht="15" hidden="1" customHeight="1">
      <c r="A89" s="553" t="s">
        <v>122</v>
      </c>
      <c r="B89" s="991" t="s">
        <v>589</v>
      </c>
      <c r="C89" s="991"/>
      <c r="D89" s="512"/>
      <c r="E89" s="512"/>
      <c r="F89" s="513" t="s">
        <v>556</v>
      </c>
    </row>
    <row r="90" spans="1:8" ht="15" hidden="1" customHeight="1">
      <c r="A90" s="550" t="s">
        <v>123</v>
      </c>
      <c r="B90" s="550" t="s">
        <v>124</v>
      </c>
      <c r="C90" s="550" t="s">
        <v>125</v>
      </c>
      <c r="D90" s="550" t="s">
        <v>126</v>
      </c>
      <c r="E90" s="550" t="s">
        <v>127</v>
      </c>
      <c r="F90" s="515" t="s">
        <v>354</v>
      </c>
    </row>
    <row r="91" spans="1:8" ht="15" hidden="1" customHeight="1">
      <c r="A91" s="244" t="s">
        <v>557</v>
      </c>
      <c r="B91" s="244" t="s">
        <v>558</v>
      </c>
      <c r="C91" s="243">
        <v>45241</v>
      </c>
      <c r="D91" s="244" t="s">
        <v>582</v>
      </c>
      <c r="E91" s="244" t="s">
        <v>560</v>
      </c>
      <c r="F91" s="551"/>
      <c r="G91" s="538"/>
      <c r="H91" s="538"/>
    </row>
    <row r="92" spans="1:8" ht="15" hidden="1" customHeight="1">
      <c r="A92" s="244" t="s">
        <v>565</v>
      </c>
      <c r="B92" s="244" t="s">
        <v>566</v>
      </c>
      <c r="C92" s="243">
        <v>45241</v>
      </c>
      <c r="D92" s="244" t="s">
        <v>583</v>
      </c>
      <c r="E92" s="244" t="s">
        <v>568</v>
      </c>
      <c r="F92" s="551"/>
    </row>
    <row r="93" spans="1:8" ht="15" hidden="1" customHeight="1">
      <c r="A93" s="244" t="s">
        <v>584</v>
      </c>
      <c r="B93" s="244" t="s">
        <v>585</v>
      </c>
      <c r="C93" s="243">
        <v>45241</v>
      </c>
      <c r="D93" s="244" t="s">
        <v>586</v>
      </c>
      <c r="E93" s="244" t="s">
        <v>587</v>
      </c>
      <c r="F93" s="551"/>
    </row>
    <row r="94" spans="1:8" ht="15" hidden="1" customHeight="1">
      <c r="A94" s="244" t="s">
        <v>561</v>
      </c>
      <c r="B94" s="244" t="s">
        <v>562</v>
      </c>
      <c r="C94" s="243">
        <v>45241</v>
      </c>
      <c r="D94" s="244" t="s">
        <v>563</v>
      </c>
      <c r="E94" s="244" t="s">
        <v>564</v>
      </c>
      <c r="F94" s="551"/>
      <c r="G94" s="543"/>
    </row>
    <row r="95" spans="1:8" ht="15" hidden="1" customHeight="1">
      <c r="A95" s="244" t="s">
        <v>569</v>
      </c>
      <c r="B95" s="244" t="s">
        <v>570</v>
      </c>
      <c r="C95" s="243">
        <v>45241</v>
      </c>
      <c r="D95" s="244" t="s">
        <v>571</v>
      </c>
      <c r="E95" s="244" t="s">
        <v>572</v>
      </c>
      <c r="F95" s="551"/>
    </row>
    <row r="96" spans="1:8" ht="15" hidden="1" customHeight="1">
      <c r="A96" s="244" t="s">
        <v>573</v>
      </c>
      <c r="B96" s="244" t="s">
        <v>574</v>
      </c>
      <c r="C96" s="243">
        <v>45241</v>
      </c>
      <c r="D96" s="244" t="s">
        <v>575</v>
      </c>
      <c r="E96" s="244" t="s">
        <v>576</v>
      </c>
      <c r="F96" s="551"/>
    </row>
    <row r="97" spans="1:8" ht="15" hidden="1" customHeight="1">
      <c r="A97" s="244" t="s">
        <v>577</v>
      </c>
      <c r="B97" s="244" t="s">
        <v>578</v>
      </c>
      <c r="C97" s="243">
        <v>45241</v>
      </c>
      <c r="D97" s="244" t="s">
        <v>579</v>
      </c>
      <c r="E97" s="244" t="s">
        <v>580</v>
      </c>
      <c r="F97" s="551"/>
    </row>
    <row r="98" spans="1:8" ht="15" hidden="1" customHeight="1">
      <c r="A98" s="527" t="s">
        <v>128</v>
      </c>
      <c r="B98" s="316">
        <v>44503</v>
      </c>
      <c r="C98" s="528"/>
      <c r="D98" s="992" t="s">
        <v>444</v>
      </c>
      <c r="E98" s="992"/>
      <c r="F98" s="554" t="e">
        <f>MEDIAN(F91:F97)</f>
        <v>#NUM!</v>
      </c>
    </row>
    <row r="99" spans="1:8">
      <c r="A99" s="540"/>
      <c r="B99" s="541"/>
      <c r="C99" s="541"/>
      <c r="D99" s="541"/>
      <c r="E99" s="541"/>
      <c r="F99" s="573"/>
    </row>
    <row r="100" spans="1:8" hidden="1">
      <c r="A100" s="553" t="s">
        <v>122</v>
      </c>
      <c r="B100" s="991" t="s">
        <v>590</v>
      </c>
      <c r="C100" s="991"/>
      <c r="D100" s="512"/>
      <c r="E100" s="512"/>
      <c r="F100" s="513" t="s">
        <v>556</v>
      </c>
    </row>
    <row r="101" spans="1:8" hidden="1">
      <c r="A101" s="550" t="s">
        <v>123</v>
      </c>
      <c r="B101" s="550" t="s">
        <v>124</v>
      </c>
      <c r="C101" s="550" t="s">
        <v>125</v>
      </c>
      <c r="D101" s="550" t="s">
        <v>126</v>
      </c>
      <c r="E101" s="550" t="s">
        <v>127</v>
      </c>
      <c r="F101" s="515" t="s">
        <v>354</v>
      </c>
    </row>
    <row r="102" spans="1:8" hidden="1">
      <c r="A102" s="244" t="s">
        <v>557</v>
      </c>
      <c r="B102" s="244" t="s">
        <v>558</v>
      </c>
      <c r="C102" s="243">
        <v>45333</v>
      </c>
      <c r="D102" s="244" t="s">
        <v>582</v>
      </c>
      <c r="E102" s="244" t="s">
        <v>560</v>
      </c>
      <c r="F102" s="564">
        <v>93</v>
      </c>
      <c r="G102" s="538"/>
      <c r="H102" s="538"/>
    </row>
    <row r="103" spans="1:8" hidden="1">
      <c r="A103" s="244" t="s">
        <v>565</v>
      </c>
      <c r="B103" s="244" t="s">
        <v>566</v>
      </c>
      <c r="C103" s="243">
        <v>45333</v>
      </c>
      <c r="D103" s="244" t="s">
        <v>583</v>
      </c>
      <c r="E103" s="244" t="s">
        <v>568</v>
      </c>
      <c r="F103" s="551"/>
    </row>
    <row r="104" spans="1:8" hidden="1">
      <c r="A104" s="244" t="s">
        <v>584</v>
      </c>
      <c r="B104" s="244" t="s">
        <v>585</v>
      </c>
      <c r="C104" s="243">
        <v>45333</v>
      </c>
      <c r="D104" s="244" t="s">
        <v>586</v>
      </c>
      <c r="E104" s="244" t="s">
        <v>587</v>
      </c>
      <c r="F104" s="564">
        <v>150</v>
      </c>
    </row>
    <row r="105" spans="1:8" hidden="1">
      <c r="A105" s="244" t="s">
        <v>561</v>
      </c>
      <c r="B105" s="244" t="s">
        <v>562</v>
      </c>
      <c r="C105" s="243">
        <v>45333</v>
      </c>
      <c r="D105" s="244" t="s">
        <v>563</v>
      </c>
      <c r="E105" s="244" t="s">
        <v>564</v>
      </c>
      <c r="F105" s="551"/>
      <c r="G105" s="543"/>
    </row>
    <row r="106" spans="1:8" hidden="1">
      <c r="A106" s="244" t="s">
        <v>569</v>
      </c>
      <c r="B106" s="244" t="s">
        <v>570</v>
      </c>
      <c r="C106" s="243">
        <v>45333</v>
      </c>
      <c r="D106" s="244" t="s">
        <v>571</v>
      </c>
      <c r="E106" s="244" t="s">
        <v>572</v>
      </c>
      <c r="F106" s="564">
        <v>95</v>
      </c>
    </row>
    <row r="107" spans="1:8" hidden="1">
      <c r="A107" s="244" t="s">
        <v>573</v>
      </c>
      <c r="B107" s="244" t="s">
        <v>574</v>
      </c>
      <c r="C107" s="243">
        <v>45333</v>
      </c>
      <c r="D107" s="244" t="s">
        <v>575</v>
      </c>
      <c r="E107" s="244" t="s">
        <v>576</v>
      </c>
      <c r="F107" s="564">
        <v>97.7</v>
      </c>
    </row>
    <row r="108" spans="1:8" hidden="1">
      <c r="A108" s="244" t="s">
        <v>577</v>
      </c>
      <c r="B108" s="244" t="s">
        <v>578</v>
      </c>
      <c r="C108" s="243">
        <v>45333</v>
      </c>
      <c r="D108" s="244" t="s">
        <v>579</v>
      </c>
      <c r="E108" s="244" t="s">
        <v>580</v>
      </c>
      <c r="F108" s="564">
        <v>70.31</v>
      </c>
    </row>
    <row r="109" spans="1:8" hidden="1">
      <c r="A109" s="527" t="s">
        <v>128</v>
      </c>
      <c r="B109" s="316">
        <v>45333</v>
      </c>
      <c r="C109" s="528"/>
      <c r="D109" s="992" t="s">
        <v>444</v>
      </c>
      <c r="E109" s="992"/>
      <c r="F109" s="572">
        <f>TRUNC(MEDIAN(F102:F108),2)</f>
        <v>95</v>
      </c>
    </row>
    <row r="110" spans="1:8" ht="15" hidden="1" customHeight="1">
      <c r="A110" s="540"/>
      <c r="B110" s="541"/>
      <c r="C110" s="541"/>
      <c r="D110" s="541"/>
      <c r="E110" s="541"/>
      <c r="F110" s="573"/>
    </row>
    <row r="111" spans="1:8" ht="15" hidden="1" customHeight="1">
      <c r="A111" s="553" t="s">
        <v>122</v>
      </c>
      <c r="B111" s="991" t="s">
        <v>251</v>
      </c>
      <c r="C111" s="991"/>
      <c r="D111" s="512"/>
      <c r="E111" s="512"/>
      <c r="F111" s="513" t="s">
        <v>556</v>
      </c>
    </row>
    <row r="112" spans="1:8" ht="15" hidden="1" customHeight="1">
      <c r="A112" s="550" t="s">
        <v>123</v>
      </c>
      <c r="B112" s="550" t="s">
        <v>124</v>
      </c>
      <c r="C112" s="550" t="s">
        <v>125</v>
      </c>
      <c r="D112" s="550" t="s">
        <v>126</v>
      </c>
      <c r="E112" s="550" t="s">
        <v>127</v>
      </c>
      <c r="F112" s="515" t="s">
        <v>354</v>
      </c>
    </row>
    <row r="113" spans="1:8" ht="15" hidden="1" customHeight="1">
      <c r="A113" s="244" t="s">
        <v>557</v>
      </c>
      <c r="B113" s="244" t="s">
        <v>558</v>
      </c>
      <c r="C113" s="243">
        <v>45241</v>
      </c>
      <c r="D113" s="244" t="s">
        <v>582</v>
      </c>
      <c r="E113" s="244" t="s">
        <v>560</v>
      </c>
      <c r="F113" s="551"/>
      <c r="G113" s="538"/>
      <c r="H113" s="538"/>
    </row>
    <row r="114" spans="1:8" ht="15" hidden="1" customHeight="1">
      <c r="A114" s="244" t="s">
        <v>565</v>
      </c>
      <c r="B114" s="244" t="s">
        <v>566</v>
      </c>
      <c r="C114" s="243">
        <v>45241</v>
      </c>
      <c r="D114" s="244" t="s">
        <v>583</v>
      </c>
      <c r="E114" s="244" t="s">
        <v>568</v>
      </c>
      <c r="F114" s="551"/>
    </row>
    <row r="115" spans="1:8" ht="15" hidden="1" customHeight="1">
      <c r="A115" s="244" t="s">
        <v>584</v>
      </c>
      <c r="B115" s="244" t="s">
        <v>585</v>
      </c>
      <c r="C115" s="243">
        <v>45241</v>
      </c>
      <c r="D115" s="244" t="s">
        <v>586</v>
      </c>
      <c r="E115" s="244" t="s">
        <v>587</v>
      </c>
      <c r="F115" s="551"/>
    </row>
    <row r="116" spans="1:8" ht="15" hidden="1" customHeight="1">
      <c r="A116" s="244" t="s">
        <v>561</v>
      </c>
      <c r="B116" s="244" t="s">
        <v>562</v>
      </c>
      <c r="C116" s="243">
        <v>45241</v>
      </c>
      <c r="D116" s="244" t="s">
        <v>563</v>
      </c>
      <c r="E116" s="244" t="s">
        <v>564</v>
      </c>
      <c r="F116" s="551"/>
      <c r="G116" s="543"/>
    </row>
    <row r="117" spans="1:8" ht="15" hidden="1" customHeight="1">
      <c r="A117" s="244" t="s">
        <v>569</v>
      </c>
      <c r="B117" s="244" t="s">
        <v>570</v>
      </c>
      <c r="C117" s="243">
        <v>45241</v>
      </c>
      <c r="D117" s="244" t="s">
        <v>571</v>
      </c>
      <c r="E117" s="244" t="s">
        <v>572</v>
      </c>
      <c r="F117" s="551"/>
    </row>
    <row r="118" spans="1:8" ht="15" hidden="1" customHeight="1">
      <c r="A118" s="244" t="s">
        <v>573</v>
      </c>
      <c r="B118" s="244" t="s">
        <v>574</v>
      </c>
      <c r="C118" s="243">
        <v>45241</v>
      </c>
      <c r="D118" s="244" t="s">
        <v>575</v>
      </c>
      <c r="E118" s="244" t="s">
        <v>576</v>
      </c>
      <c r="F118" s="551"/>
    </row>
    <row r="119" spans="1:8" ht="15" hidden="1" customHeight="1">
      <c r="A119" s="244" t="s">
        <v>577</v>
      </c>
      <c r="B119" s="244" t="s">
        <v>578</v>
      </c>
      <c r="C119" s="243">
        <v>45241</v>
      </c>
      <c r="D119" s="244" t="s">
        <v>579</v>
      </c>
      <c r="E119" s="244" t="s">
        <v>580</v>
      </c>
      <c r="F119" s="551"/>
    </row>
    <row r="120" spans="1:8" ht="15" hidden="1" customHeight="1">
      <c r="A120" s="527" t="s">
        <v>128</v>
      </c>
      <c r="B120" s="316">
        <v>44503</v>
      </c>
      <c r="C120" s="528"/>
      <c r="D120" s="992" t="s">
        <v>444</v>
      </c>
      <c r="E120" s="992"/>
      <c r="F120" s="554" t="e">
        <f>MEDIAN(F113:F119)</f>
        <v>#NUM!</v>
      </c>
    </row>
    <row r="121" spans="1:8" hidden="1">
      <c r="A121" s="540"/>
      <c r="B121" s="541"/>
      <c r="C121" s="541"/>
      <c r="D121" s="541"/>
      <c r="E121" s="541"/>
      <c r="F121" s="573"/>
    </row>
    <row r="122" spans="1:8" hidden="1">
      <c r="A122" s="553" t="s">
        <v>122</v>
      </c>
      <c r="B122" s="991" t="s">
        <v>591</v>
      </c>
      <c r="C122" s="991"/>
      <c r="D122" s="512"/>
      <c r="E122" s="512"/>
      <c r="F122" s="513" t="s">
        <v>556</v>
      </c>
    </row>
    <row r="123" spans="1:8" hidden="1">
      <c r="A123" s="550" t="s">
        <v>123</v>
      </c>
      <c r="B123" s="550" t="s">
        <v>124</v>
      </c>
      <c r="C123" s="550" t="s">
        <v>125</v>
      </c>
      <c r="D123" s="550" t="s">
        <v>126</v>
      </c>
      <c r="E123" s="550" t="s">
        <v>127</v>
      </c>
      <c r="F123" s="515" t="s">
        <v>354</v>
      </c>
    </row>
    <row r="124" spans="1:8" hidden="1">
      <c r="A124" s="244" t="s">
        <v>557</v>
      </c>
      <c r="B124" s="244" t="s">
        <v>558</v>
      </c>
      <c r="C124" s="243">
        <v>45333</v>
      </c>
      <c r="D124" s="244" t="s">
        <v>582</v>
      </c>
      <c r="E124" s="244" t="s">
        <v>560</v>
      </c>
      <c r="F124" s="564">
        <v>56</v>
      </c>
      <c r="G124" s="538"/>
      <c r="H124" s="538"/>
    </row>
    <row r="125" spans="1:8" hidden="1">
      <c r="A125" s="244" t="s">
        <v>565</v>
      </c>
      <c r="B125" s="244" t="s">
        <v>566</v>
      </c>
      <c r="C125" s="243">
        <v>45333</v>
      </c>
      <c r="D125" s="244" t="s">
        <v>583</v>
      </c>
      <c r="E125" s="244" t="s">
        <v>568</v>
      </c>
      <c r="F125" s="551"/>
    </row>
    <row r="126" spans="1:8" hidden="1">
      <c r="A126" s="244" t="s">
        <v>561</v>
      </c>
      <c r="B126" s="244" t="s">
        <v>562</v>
      </c>
      <c r="C126" s="243">
        <v>45333</v>
      </c>
      <c r="D126" s="244" t="s">
        <v>563</v>
      </c>
      <c r="E126" s="244" t="s">
        <v>564</v>
      </c>
      <c r="F126" s="551"/>
      <c r="G126" s="543"/>
    </row>
    <row r="127" spans="1:8" hidden="1">
      <c r="A127" s="244" t="s">
        <v>573</v>
      </c>
      <c r="B127" s="244" t="s">
        <v>574</v>
      </c>
      <c r="C127" s="243">
        <v>45333</v>
      </c>
      <c r="D127" s="244" t="s">
        <v>575</v>
      </c>
      <c r="E127" s="244" t="s">
        <v>576</v>
      </c>
      <c r="F127" s="564">
        <v>60</v>
      </c>
    </row>
    <row r="128" spans="1:8" hidden="1">
      <c r="A128" s="244" t="s">
        <v>577</v>
      </c>
      <c r="B128" s="244" t="s">
        <v>578</v>
      </c>
      <c r="C128" s="243">
        <v>45333</v>
      </c>
      <c r="D128" s="244" t="s">
        <v>579</v>
      </c>
      <c r="E128" s="244" t="s">
        <v>580</v>
      </c>
      <c r="F128" s="564">
        <v>60.18</v>
      </c>
    </row>
    <row r="129" spans="1:8" hidden="1">
      <c r="A129" s="527" t="s">
        <v>128</v>
      </c>
      <c r="B129" s="316">
        <v>45333</v>
      </c>
      <c r="C129" s="528"/>
      <c r="D129" s="992" t="s">
        <v>444</v>
      </c>
      <c r="E129" s="992"/>
      <c r="F129" s="572">
        <f>TRUNC(MEDIAN(F123:F128),2)</f>
        <v>60</v>
      </c>
    </row>
    <row r="130" spans="1:8" hidden="1">
      <c r="A130" s="544"/>
      <c r="B130" s="545"/>
      <c r="C130" s="545"/>
      <c r="D130" s="545"/>
      <c r="E130" s="545"/>
      <c r="F130" s="574"/>
    </row>
    <row r="131" spans="1:8" ht="15" hidden="1" customHeight="1">
      <c r="A131" s="553" t="s">
        <v>122</v>
      </c>
      <c r="B131" s="991" t="s">
        <v>592</v>
      </c>
      <c r="C131" s="991"/>
      <c r="D131" s="512"/>
      <c r="E131" s="512"/>
      <c r="F131" s="513" t="s">
        <v>593</v>
      </c>
    </row>
    <row r="132" spans="1:8" ht="15" hidden="1" customHeight="1">
      <c r="A132" s="550" t="s">
        <v>123</v>
      </c>
      <c r="B132" s="550" t="s">
        <v>124</v>
      </c>
      <c r="C132" s="550" t="s">
        <v>125</v>
      </c>
      <c r="D132" s="550" t="s">
        <v>126</v>
      </c>
      <c r="E132" s="558" t="s">
        <v>127</v>
      </c>
      <c r="F132" s="515" t="s">
        <v>354</v>
      </c>
    </row>
    <row r="133" spans="1:8" ht="15" hidden="1" customHeight="1">
      <c r="A133" s="244" t="s">
        <v>594</v>
      </c>
      <c r="B133" s="244" t="s">
        <v>595</v>
      </c>
      <c r="C133" s="243">
        <v>44503</v>
      </c>
      <c r="D133" s="244" t="s">
        <v>596</v>
      </c>
      <c r="E133" s="244" t="s">
        <v>597</v>
      </c>
      <c r="F133" s="551">
        <v>23</v>
      </c>
      <c r="G133" s="538"/>
      <c r="H133" s="538"/>
    </row>
    <row r="134" spans="1:8" ht="15" hidden="1" customHeight="1">
      <c r="A134" s="244" t="s">
        <v>598</v>
      </c>
      <c r="B134" s="244" t="s">
        <v>599</v>
      </c>
      <c r="C134" s="243">
        <v>44503</v>
      </c>
      <c r="D134" s="244" t="s">
        <v>600</v>
      </c>
      <c r="E134" s="244" t="s">
        <v>601</v>
      </c>
      <c r="F134" s="551">
        <v>36</v>
      </c>
    </row>
    <row r="135" spans="1:8" ht="15" hidden="1" customHeight="1">
      <c r="A135" s="244" t="s">
        <v>602</v>
      </c>
      <c r="B135" s="244" t="s">
        <v>603</v>
      </c>
      <c r="C135" s="243">
        <v>44503</v>
      </c>
      <c r="D135" s="244" t="s">
        <v>600</v>
      </c>
      <c r="E135" s="244" t="s">
        <v>604</v>
      </c>
      <c r="F135" s="551">
        <v>53.4</v>
      </c>
      <c r="G135" s="543"/>
    </row>
    <row r="136" spans="1:8" ht="15" hidden="1" customHeight="1">
      <c r="A136" s="527" t="s">
        <v>128</v>
      </c>
      <c r="B136" s="316">
        <v>44503</v>
      </c>
      <c r="C136" s="546"/>
      <c r="D136" s="992" t="s">
        <v>444</v>
      </c>
      <c r="E136" s="992"/>
      <c r="F136" s="554">
        <f>MEDIAN(F133:F135)</f>
        <v>36</v>
      </c>
    </row>
    <row r="137" spans="1:8" ht="15" hidden="1" customHeight="1">
      <c r="A137" s="544"/>
      <c r="B137" s="545"/>
      <c r="C137" s="545"/>
      <c r="D137" s="545"/>
      <c r="E137" s="545"/>
      <c r="F137" s="574"/>
    </row>
    <row r="138" spans="1:8" ht="15" hidden="1" customHeight="1">
      <c r="A138" s="553" t="s">
        <v>122</v>
      </c>
      <c r="B138" s="991" t="s">
        <v>605</v>
      </c>
      <c r="C138" s="991"/>
      <c r="D138" s="512"/>
      <c r="E138" s="512"/>
      <c r="F138" s="513" t="s">
        <v>593</v>
      </c>
    </row>
    <row r="139" spans="1:8" ht="15" hidden="1" customHeight="1">
      <c r="A139" s="550" t="s">
        <v>123</v>
      </c>
      <c r="B139" s="550" t="s">
        <v>124</v>
      </c>
      <c r="C139" s="550" t="s">
        <v>125</v>
      </c>
      <c r="D139" s="550" t="s">
        <v>126</v>
      </c>
      <c r="E139" s="550" t="s">
        <v>127</v>
      </c>
      <c r="F139" s="515" t="s">
        <v>354</v>
      </c>
    </row>
    <row r="140" spans="1:8" ht="15" hidden="1" customHeight="1">
      <c r="A140" s="244" t="s">
        <v>594</v>
      </c>
      <c r="B140" s="244" t="s">
        <v>595</v>
      </c>
      <c r="C140" s="243">
        <v>44503</v>
      </c>
      <c r="D140" s="244" t="s">
        <v>596</v>
      </c>
      <c r="E140" s="244" t="s">
        <v>597</v>
      </c>
      <c r="F140" s="551">
        <v>23</v>
      </c>
      <c r="G140" s="538"/>
      <c r="H140" s="538"/>
    </row>
    <row r="141" spans="1:8" ht="15" hidden="1" customHeight="1">
      <c r="A141" s="244" t="s">
        <v>598</v>
      </c>
      <c r="B141" s="244" t="s">
        <v>599</v>
      </c>
      <c r="C141" s="243">
        <v>44503</v>
      </c>
      <c r="D141" s="244" t="s">
        <v>600</v>
      </c>
      <c r="E141" s="244" t="s">
        <v>601</v>
      </c>
      <c r="F141" s="551">
        <v>30</v>
      </c>
    </row>
    <row r="142" spans="1:8" ht="15" hidden="1" customHeight="1">
      <c r="A142" s="244" t="s">
        <v>602</v>
      </c>
      <c r="B142" s="244" t="s">
        <v>603</v>
      </c>
      <c r="C142" s="243">
        <v>44503</v>
      </c>
      <c r="D142" s="244" t="s">
        <v>600</v>
      </c>
      <c r="E142" s="244" t="s">
        <v>604</v>
      </c>
      <c r="F142" s="551">
        <v>48.6</v>
      </c>
      <c r="G142" s="543"/>
    </row>
    <row r="143" spans="1:8" ht="15" hidden="1" customHeight="1">
      <c r="A143" s="547" t="s">
        <v>128</v>
      </c>
      <c r="B143" s="536">
        <v>44503</v>
      </c>
      <c r="C143" s="548"/>
      <c r="D143" s="992" t="s">
        <v>444</v>
      </c>
      <c r="E143" s="992"/>
      <c r="F143" s="554">
        <f>MEDIAN(F140:F142)</f>
        <v>30</v>
      </c>
    </row>
    <row r="144" spans="1:8" ht="15" hidden="1" customHeight="1">
      <c r="A144" s="544"/>
      <c r="B144" s="545"/>
      <c r="C144" s="545"/>
      <c r="D144" s="545"/>
      <c r="E144" s="545"/>
      <c r="F144" s="574"/>
    </row>
    <row r="145" spans="1:8" ht="15" hidden="1" customHeight="1">
      <c r="A145" s="553" t="s">
        <v>122</v>
      </c>
      <c r="B145" s="991" t="s">
        <v>606</v>
      </c>
      <c r="C145" s="991"/>
      <c r="D145" s="512"/>
      <c r="E145" s="512"/>
      <c r="F145" s="513" t="s">
        <v>593</v>
      </c>
    </row>
    <row r="146" spans="1:8" ht="15" hidden="1" customHeight="1">
      <c r="A146" s="550" t="s">
        <v>123</v>
      </c>
      <c r="B146" s="550" t="s">
        <v>124</v>
      </c>
      <c r="C146" s="550" t="s">
        <v>125</v>
      </c>
      <c r="D146" s="550" t="s">
        <v>126</v>
      </c>
      <c r="E146" s="558" t="s">
        <v>127</v>
      </c>
      <c r="F146" s="515" t="s">
        <v>354</v>
      </c>
    </row>
    <row r="147" spans="1:8" ht="15" hidden="1" customHeight="1">
      <c r="A147" s="244" t="s">
        <v>607</v>
      </c>
      <c r="B147" s="244" t="s">
        <v>608</v>
      </c>
      <c r="C147" s="243">
        <v>44503</v>
      </c>
      <c r="D147" s="244" t="s">
        <v>600</v>
      </c>
      <c r="E147" s="244" t="s">
        <v>609</v>
      </c>
      <c r="F147" s="551">
        <f>23/2.3</f>
        <v>10</v>
      </c>
      <c r="G147" s="538"/>
      <c r="H147" s="538"/>
    </row>
    <row r="148" spans="1:8" ht="15" hidden="1" customHeight="1">
      <c r="A148" s="244" t="s">
        <v>602</v>
      </c>
      <c r="B148" s="244" t="s">
        <v>603</v>
      </c>
      <c r="C148" s="243">
        <v>44503</v>
      </c>
      <c r="D148" s="244" t="s">
        <v>600</v>
      </c>
      <c r="E148" s="244" t="s">
        <v>604</v>
      </c>
      <c r="F148" s="551">
        <f>9.28/2.3</f>
        <v>4.034782608695652</v>
      </c>
    </row>
    <row r="149" spans="1:8" ht="15" hidden="1" customHeight="1">
      <c r="A149" s="244" t="s">
        <v>610</v>
      </c>
      <c r="B149" s="244" t="s">
        <v>611</v>
      </c>
      <c r="C149" s="243">
        <v>44503</v>
      </c>
      <c r="D149" s="244" t="s">
        <v>600</v>
      </c>
      <c r="E149" s="244" t="s">
        <v>604</v>
      </c>
      <c r="F149" s="551">
        <f>4/2.3</f>
        <v>1.7391304347826089</v>
      </c>
      <c r="G149" s="543"/>
    </row>
    <row r="150" spans="1:8" ht="15" hidden="1" customHeight="1">
      <c r="A150" s="527" t="s">
        <v>128</v>
      </c>
      <c r="B150" s="316">
        <v>44503</v>
      </c>
      <c r="C150" s="546"/>
      <c r="D150" s="992" t="s">
        <v>444</v>
      </c>
      <c r="E150" s="992"/>
      <c r="F150" s="554">
        <f>MEDIAN(F147:F149)</f>
        <v>4.034782608695652</v>
      </c>
    </row>
    <row r="151" spans="1:8" ht="15" hidden="1" customHeight="1">
      <c r="A151" s="544"/>
      <c r="B151" s="545"/>
      <c r="C151" s="545"/>
      <c r="D151" s="545"/>
      <c r="E151" s="545"/>
      <c r="F151" s="574"/>
    </row>
    <row r="152" spans="1:8" ht="15" hidden="1" customHeight="1">
      <c r="A152" s="553" t="s">
        <v>122</v>
      </c>
      <c r="B152" s="991" t="s">
        <v>612</v>
      </c>
      <c r="C152" s="991"/>
      <c r="D152" s="512"/>
      <c r="E152" s="512"/>
      <c r="F152" s="513" t="s">
        <v>528</v>
      </c>
    </row>
    <row r="153" spans="1:8" ht="15" hidden="1" customHeight="1">
      <c r="A153" s="550" t="s">
        <v>123</v>
      </c>
      <c r="B153" s="550" t="s">
        <v>124</v>
      </c>
      <c r="C153" s="550" t="s">
        <v>125</v>
      </c>
      <c r="D153" s="550" t="s">
        <v>126</v>
      </c>
      <c r="E153" s="550" t="s">
        <v>127</v>
      </c>
      <c r="F153" s="515" t="s">
        <v>354</v>
      </c>
    </row>
    <row r="154" spans="1:8" ht="15" hidden="1" customHeight="1">
      <c r="A154" s="244" t="s">
        <v>607</v>
      </c>
      <c r="B154" s="244" t="s">
        <v>608</v>
      </c>
      <c r="C154" s="243">
        <v>44503</v>
      </c>
      <c r="D154" s="244" t="s">
        <v>600</v>
      </c>
      <c r="E154" s="244" t="s">
        <v>609</v>
      </c>
      <c r="F154" s="551">
        <v>11.82</v>
      </c>
      <c r="G154" s="538"/>
      <c r="H154" s="538"/>
    </row>
    <row r="155" spans="1:8" ht="15" hidden="1" customHeight="1">
      <c r="A155" s="244" t="s">
        <v>602</v>
      </c>
      <c r="B155" s="244" t="s">
        <v>603</v>
      </c>
      <c r="C155" s="243">
        <v>44503</v>
      </c>
      <c r="D155" s="244" t="s">
        <v>600</v>
      </c>
      <c r="E155" s="244" t="s">
        <v>604</v>
      </c>
      <c r="F155" s="551">
        <v>8.91</v>
      </c>
    </row>
    <row r="156" spans="1:8" ht="15" hidden="1" customHeight="1">
      <c r="A156" s="244" t="s">
        <v>602</v>
      </c>
      <c r="B156" s="244" t="s">
        <v>603</v>
      </c>
      <c r="C156" s="243">
        <v>44503</v>
      </c>
      <c r="D156" s="244" t="s">
        <v>600</v>
      </c>
      <c r="E156" s="244" t="s">
        <v>604</v>
      </c>
      <c r="F156" s="551">
        <v>9.6999999999999993</v>
      </c>
      <c r="G156" s="543"/>
    </row>
    <row r="157" spans="1:8" ht="15" hidden="1" customHeight="1">
      <c r="A157" s="527" t="s">
        <v>128</v>
      </c>
      <c r="B157" s="316">
        <v>44503</v>
      </c>
      <c r="C157" s="528"/>
      <c r="D157" s="992" t="s">
        <v>444</v>
      </c>
      <c r="E157" s="992"/>
      <c r="F157" s="554">
        <f>MEDIAN(F154:F156)</f>
        <v>9.6999999999999993</v>
      </c>
    </row>
    <row r="158" spans="1:8" ht="15" hidden="1" customHeight="1">
      <c r="A158" s="540"/>
      <c r="B158" s="541"/>
      <c r="C158" s="541"/>
      <c r="D158" s="541"/>
      <c r="E158" s="541"/>
      <c r="F158" s="573"/>
    </row>
    <row r="159" spans="1:8" ht="15" hidden="1" customHeight="1">
      <c r="A159" s="511" t="s">
        <v>122</v>
      </c>
      <c r="B159" s="502" t="s">
        <v>389</v>
      </c>
      <c r="C159" s="502"/>
      <c r="D159" s="512"/>
      <c r="E159" s="512"/>
      <c r="F159" s="513" t="s">
        <v>445</v>
      </c>
    </row>
    <row r="160" spans="1:8" ht="15" hidden="1" customHeight="1">
      <c r="A160" s="514" t="s">
        <v>123</v>
      </c>
      <c r="B160" s="514" t="s">
        <v>124</v>
      </c>
      <c r="C160" s="514" t="s">
        <v>125</v>
      </c>
      <c r="D160" s="514" t="s">
        <v>126</v>
      </c>
      <c r="E160" s="514" t="s">
        <v>127</v>
      </c>
      <c r="F160" s="515" t="s">
        <v>354</v>
      </c>
    </row>
    <row r="161" spans="1:8" ht="15" hidden="1" customHeight="1">
      <c r="A161" s="244" t="s">
        <v>385</v>
      </c>
      <c r="B161" s="244" t="s">
        <v>386</v>
      </c>
      <c r="C161" s="243">
        <v>44503</v>
      </c>
      <c r="D161" s="244" t="s">
        <v>387</v>
      </c>
      <c r="E161" s="244" t="s">
        <v>388</v>
      </c>
      <c r="F161" s="516">
        <v>250</v>
      </c>
    </row>
    <row r="162" spans="1:8" ht="15" hidden="1" customHeight="1">
      <c r="A162" s="317" t="s">
        <v>128</v>
      </c>
      <c r="B162" s="316">
        <v>44503</v>
      </c>
      <c r="C162" s="318"/>
      <c r="D162" s="992" t="s">
        <v>444</v>
      </c>
      <c r="E162" s="992"/>
      <c r="F162" s="517">
        <v>250</v>
      </c>
    </row>
    <row r="163" spans="1:8" ht="15" hidden="1" customHeight="1">
      <c r="A163" s="544"/>
      <c r="B163" s="545"/>
      <c r="C163" s="545"/>
      <c r="D163" s="545"/>
      <c r="E163" s="545"/>
      <c r="F163" s="574"/>
    </row>
    <row r="164" spans="1:8" ht="15" hidden="1" customHeight="1">
      <c r="A164" s="553" t="s">
        <v>122</v>
      </c>
      <c r="B164" s="991" t="s">
        <v>613</v>
      </c>
      <c r="C164" s="991"/>
      <c r="D164" s="512"/>
      <c r="E164" s="512"/>
      <c r="F164" s="513" t="s">
        <v>528</v>
      </c>
    </row>
    <row r="165" spans="1:8" ht="15" hidden="1" customHeight="1">
      <c r="A165" s="550" t="s">
        <v>123</v>
      </c>
      <c r="B165" s="550" t="s">
        <v>124</v>
      </c>
      <c r="C165" s="550" t="s">
        <v>125</v>
      </c>
      <c r="D165" s="550" t="s">
        <v>126</v>
      </c>
      <c r="E165" s="550" t="s">
        <v>127</v>
      </c>
      <c r="F165" s="515" t="s">
        <v>354</v>
      </c>
    </row>
    <row r="166" spans="1:8" ht="15" hidden="1" customHeight="1">
      <c r="A166" s="244" t="s">
        <v>529</v>
      </c>
      <c r="B166" s="244" t="s">
        <v>530</v>
      </c>
      <c r="C166" s="243">
        <v>44503</v>
      </c>
      <c r="D166" s="244" t="s">
        <v>614</v>
      </c>
      <c r="E166" s="244" t="s">
        <v>532</v>
      </c>
      <c r="F166" s="551">
        <v>42</v>
      </c>
      <c r="G166" s="538"/>
      <c r="H166" s="538"/>
    </row>
    <row r="167" spans="1:8" ht="15" hidden="1" customHeight="1">
      <c r="A167" s="244" t="s">
        <v>533</v>
      </c>
      <c r="B167" s="244" t="s">
        <v>534</v>
      </c>
      <c r="C167" s="243">
        <v>44503</v>
      </c>
      <c r="D167" s="244" t="s">
        <v>615</v>
      </c>
      <c r="E167" s="549" t="s">
        <v>536</v>
      </c>
      <c r="F167" s="551">
        <v>38</v>
      </c>
      <c r="H167" s="28" t="s">
        <v>616</v>
      </c>
    </row>
    <row r="168" spans="1:8" ht="15" hidden="1" customHeight="1">
      <c r="A168" s="244" t="s">
        <v>537</v>
      </c>
      <c r="B168" s="244" t="s">
        <v>538</v>
      </c>
      <c r="C168" s="243">
        <v>44503</v>
      </c>
      <c r="D168" s="244" t="s">
        <v>617</v>
      </c>
      <c r="E168" s="549" t="s">
        <v>540</v>
      </c>
      <c r="F168" s="551">
        <v>36</v>
      </c>
      <c r="G168" s="543"/>
    </row>
    <row r="169" spans="1:8" hidden="1">
      <c r="A169" s="553" t="s">
        <v>122</v>
      </c>
      <c r="B169" s="991" t="s">
        <v>618</v>
      </c>
      <c r="C169" s="991"/>
      <c r="D169" s="512"/>
      <c r="E169" s="512"/>
      <c r="F169" s="513" t="s">
        <v>556</v>
      </c>
    </row>
    <row r="170" spans="1:8" hidden="1">
      <c r="A170" s="550" t="s">
        <v>123</v>
      </c>
      <c r="B170" s="550" t="s">
        <v>124</v>
      </c>
      <c r="C170" s="550" t="s">
        <v>125</v>
      </c>
      <c r="D170" s="550" t="s">
        <v>126</v>
      </c>
      <c r="E170" s="550" t="s">
        <v>127</v>
      </c>
      <c r="F170" s="515" t="s">
        <v>354</v>
      </c>
    </row>
    <row r="171" spans="1:8" hidden="1">
      <c r="A171" s="244" t="s">
        <v>569</v>
      </c>
      <c r="B171" s="244" t="s">
        <v>570</v>
      </c>
      <c r="C171" s="243">
        <v>45149</v>
      </c>
      <c r="D171" s="244" t="s">
        <v>571</v>
      </c>
      <c r="E171" s="244" t="s">
        <v>572</v>
      </c>
      <c r="F171" s="564">
        <v>65</v>
      </c>
      <c r="G171" s="538"/>
      <c r="H171" s="538"/>
    </row>
    <row r="172" spans="1:8" hidden="1">
      <c r="A172" s="244" t="s">
        <v>628</v>
      </c>
      <c r="B172" s="244" t="s">
        <v>47</v>
      </c>
      <c r="C172" s="243">
        <v>45149</v>
      </c>
      <c r="D172" s="244" t="s">
        <v>629</v>
      </c>
      <c r="E172" s="244" t="s">
        <v>630</v>
      </c>
      <c r="F172" s="564">
        <v>110</v>
      </c>
    </row>
    <row r="173" spans="1:8" hidden="1">
      <c r="A173" s="244" t="s">
        <v>619</v>
      </c>
      <c r="B173" s="244" t="s">
        <v>585</v>
      </c>
      <c r="C173" s="243">
        <v>45149</v>
      </c>
      <c r="D173" s="244" t="s">
        <v>620</v>
      </c>
      <c r="E173" s="244" t="s">
        <v>621</v>
      </c>
      <c r="F173" s="564">
        <v>35</v>
      </c>
      <c r="G173" s="543"/>
    </row>
    <row r="174" spans="1:8" hidden="1">
      <c r="A174" s="527" t="s">
        <v>128</v>
      </c>
      <c r="B174" s="316">
        <v>45149</v>
      </c>
      <c r="C174" s="528"/>
      <c r="D174" s="992" t="s">
        <v>444</v>
      </c>
      <c r="E174" s="992"/>
      <c r="F174" s="552">
        <f>TRUNC(MEDIAN(F170:F173),2)</f>
        <v>65</v>
      </c>
    </row>
    <row r="175" spans="1:8" hidden="1">
      <c r="A175" s="529"/>
      <c r="B175" s="382"/>
      <c r="C175" s="382"/>
      <c r="D175" s="382"/>
      <c r="E175" s="382"/>
      <c r="F175" s="570"/>
    </row>
    <row r="176" spans="1:8" s="6" customFormat="1" hidden="1">
      <c r="A176" s="511" t="s">
        <v>122</v>
      </c>
      <c r="B176" s="502" t="s">
        <v>389</v>
      </c>
      <c r="C176" s="502"/>
      <c r="D176" s="512"/>
      <c r="E176" s="512"/>
      <c r="F176" s="513" t="s">
        <v>445</v>
      </c>
    </row>
    <row r="177" spans="1:6" hidden="1">
      <c r="A177" s="514" t="s">
        <v>123</v>
      </c>
      <c r="B177" s="514" t="s">
        <v>124</v>
      </c>
      <c r="C177" s="514" t="s">
        <v>125</v>
      </c>
      <c r="D177" s="514" t="s">
        <v>126</v>
      </c>
      <c r="E177" s="514" t="s">
        <v>127</v>
      </c>
      <c r="F177" s="515" t="s">
        <v>354</v>
      </c>
    </row>
    <row r="178" spans="1:6" hidden="1">
      <c r="A178" s="244" t="s">
        <v>385</v>
      </c>
      <c r="B178" s="244" t="s">
        <v>386</v>
      </c>
      <c r="C178" s="243">
        <v>45333</v>
      </c>
      <c r="D178" s="244" t="s">
        <v>387</v>
      </c>
      <c r="E178" s="244" t="s">
        <v>388</v>
      </c>
      <c r="F178" s="516">
        <v>250</v>
      </c>
    </row>
    <row r="179" spans="1:6" hidden="1">
      <c r="A179" s="317" t="s">
        <v>128</v>
      </c>
      <c r="B179" s="316">
        <v>45333</v>
      </c>
      <c r="C179" s="318"/>
      <c r="D179" s="992" t="s">
        <v>444</v>
      </c>
      <c r="E179" s="992"/>
      <c r="F179" s="517">
        <v>250</v>
      </c>
    </row>
    <row r="180" spans="1:6" hidden="1">
      <c r="A180" s="407"/>
      <c r="B180" s="407"/>
      <c r="C180" s="407"/>
      <c r="D180" s="407"/>
      <c r="E180" s="407"/>
      <c r="F180" s="575"/>
    </row>
  </sheetData>
  <mergeCells count="38">
    <mergeCell ref="D174:E174"/>
    <mergeCell ref="D179:E179"/>
    <mergeCell ref="D150:E150"/>
    <mergeCell ref="B152:C152"/>
    <mergeCell ref="D157:E157"/>
    <mergeCell ref="D162:E162"/>
    <mergeCell ref="B164:C164"/>
    <mergeCell ref="B169:C169"/>
    <mergeCell ref="B145:C145"/>
    <mergeCell ref="D98:E98"/>
    <mergeCell ref="B100:C100"/>
    <mergeCell ref="D109:E109"/>
    <mergeCell ref="B111:C111"/>
    <mergeCell ref="D120:E120"/>
    <mergeCell ref="B122:C122"/>
    <mergeCell ref="D129:E129"/>
    <mergeCell ref="B131:C131"/>
    <mergeCell ref="D136:E136"/>
    <mergeCell ref="B138:C138"/>
    <mergeCell ref="D143:E143"/>
    <mergeCell ref="B89:C89"/>
    <mergeCell ref="D12:E12"/>
    <mergeCell ref="D21:E21"/>
    <mergeCell ref="D30:E30"/>
    <mergeCell ref="D39:E39"/>
    <mergeCell ref="D46:E46"/>
    <mergeCell ref="D55:E55"/>
    <mergeCell ref="D65:E65"/>
    <mergeCell ref="B67:C67"/>
    <mergeCell ref="D76:E76"/>
    <mergeCell ref="B78:C78"/>
    <mergeCell ref="D87:E87"/>
    <mergeCell ref="A1:A3"/>
    <mergeCell ref="B1:F1"/>
    <mergeCell ref="B2:C2"/>
    <mergeCell ref="D2:E2"/>
    <mergeCell ref="B3:C3"/>
    <mergeCell ref="D3:E3"/>
  </mergeCells>
  <printOptions horizontalCentered="1"/>
  <pageMargins left="0.51181102362204722" right="0.51181102362204722" top="0.59055118110236227" bottom="0.78740157480314965" header="0.31496062992125984" footer="0.19685039370078741"/>
  <pageSetup paperSize="9" scale="95" orientation="landscape" r:id="rId1"/>
  <headerFooter>
    <oddFooter>&amp;CEng° Darcio Pagani Vieira
Crea/SC - 077.222-9</oddFooter>
  </headerFooter>
  <colBreaks count="1" manualBreakCount="1">
    <brk id="7" max="110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N69"/>
  <sheetViews>
    <sheetView showGridLines="0" view="pageBreakPreview" zoomScaleNormal="55" zoomScaleSheetLayoutView="100" workbookViewId="0">
      <pane ySplit="5" topLeftCell="A6" activePane="bottomLeft" state="frozen"/>
      <selection activeCell="D21" sqref="D21"/>
      <selection pane="bottomLeft" activeCell="D21" sqref="D21"/>
    </sheetView>
  </sheetViews>
  <sheetFormatPr defaultColWidth="9.109375" defaultRowHeight="14.4"/>
  <cols>
    <col min="1" max="1" width="17.33203125" style="265" customWidth="1"/>
    <col min="2" max="2" width="48.33203125" style="265" bestFit="1" customWidth="1"/>
    <col min="3" max="4" width="13.88671875" style="347" customWidth="1"/>
    <col min="5" max="5" width="22.109375" style="347" bestFit="1" customWidth="1"/>
    <col min="6" max="6" width="12.109375" style="345" bestFit="1" customWidth="1"/>
    <col min="7" max="7" width="49.6640625" style="345" bestFit="1" customWidth="1"/>
    <col min="8" max="8" width="9" style="84" bestFit="1" customWidth="1"/>
    <col min="9" max="9" width="48.33203125" style="265" bestFit="1" customWidth="1"/>
    <col min="10" max="11" width="9.33203125" style="265" bestFit="1" customWidth="1"/>
    <col min="12" max="12" width="8.6640625" style="265" bestFit="1" customWidth="1"/>
    <col min="13" max="13" width="12.33203125" style="265" bestFit="1" customWidth="1"/>
    <col min="14" max="14" width="12.6640625" style="265" bestFit="1" customWidth="1"/>
    <col min="15" max="15" width="16.44140625" style="265" bestFit="1" customWidth="1"/>
    <col min="16" max="16384" width="9.109375" style="265"/>
  </cols>
  <sheetData>
    <row r="1" spans="1:11" ht="35.25" customHeight="1">
      <c r="A1" s="707"/>
      <c r="B1" s="994" t="s">
        <v>291</v>
      </c>
      <c r="C1" s="995"/>
      <c r="D1" s="995"/>
      <c r="E1" s="996"/>
      <c r="F1" s="340"/>
      <c r="G1" s="340"/>
      <c r="H1" s="74"/>
    </row>
    <row r="2" spans="1:11">
      <c r="A2" s="707"/>
      <c r="B2" s="478" t="str">
        <f>PAVIM.!$G$2</f>
        <v>PREFEITURA MUNICIPAL DE MARACAJÁ</v>
      </c>
      <c r="C2" s="721" t="str">
        <f>PAVIM.!$I$2</f>
        <v>BAIRRO: VILA BEATRIZ</v>
      </c>
      <c r="D2" s="721"/>
      <c r="E2" s="479" t="str">
        <f>PAVIM.!$K$2</f>
        <v>MUNICIPIO: MARACAJÁ</v>
      </c>
      <c r="F2" s="341"/>
      <c r="G2" s="341"/>
      <c r="H2" s="268"/>
    </row>
    <row r="3" spans="1:11" ht="28.8">
      <c r="A3" s="707"/>
      <c r="B3" s="480" t="str">
        <f>PAVIM.!G3</f>
        <v>RUA JOSÉ MARQUES, RUA VEREADOR FLÁVIO ROCHA, RUA 156 e RUA CRICIÚMA</v>
      </c>
      <c r="C3" s="724" t="str">
        <f>PAVIM.!$M$2</f>
        <v>ESTADO: SANTA CATARINA</v>
      </c>
      <c r="D3" s="724"/>
      <c r="E3" s="481" t="str">
        <f ca="1">PAVIM.!$M$3</f>
        <v>DATA: 15/10/24</v>
      </c>
      <c r="F3" s="341"/>
      <c r="G3" s="341"/>
      <c r="H3" s="268"/>
    </row>
    <row r="4" spans="1:11">
      <c r="A4" s="10"/>
      <c r="B4" s="11"/>
      <c r="C4" s="13"/>
      <c r="D4" s="13"/>
      <c r="E4" s="169"/>
      <c r="F4" s="341"/>
      <c r="G4" s="341"/>
      <c r="H4" s="268"/>
    </row>
    <row r="5" spans="1:11" ht="15.75" customHeight="1">
      <c r="A5" s="580" t="s">
        <v>290</v>
      </c>
      <c r="B5" s="518" t="s">
        <v>289</v>
      </c>
      <c r="C5" s="519">
        <v>45017</v>
      </c>
      <c r="D5" s="519">
        <v>45383</v>
      </c>
      <c r="E5" s="580" t="s">
        <v>196</v>
      </c>
      <c r="F5" s="342"/>
      <c r="G5" s="342"/>
      <c r="H5" s="76"/>
    </row>
    <row r="6" spans="1:11" s="6" customFormat="1">
      <c r="A6" s="199" t="s">
        <v>292</v>
      </c>
      <c r="B6" s="198" t="s">
        <v>232</v>
      </c>
      <c r="C6" s="199">
        <v>472.85</v>
      </c>
      <c r="D6" s="199">
        <f t="shared" ref="D6:D33" si="0">VLOOKUP(B6,G:H,2,FALSE)</f>
        <v>467.62200000000001</v>
      </c>
      <c r="E6" s="200">
        <f>D6/C6</f>
        <v>0.98894363963201859</v>
      </c>
      <c r="F6" s="342"/>
      <c r="G6" s="342" t="s">
        <v>232</v>
      </c>
      <c r="H6" s="76">
        <v>467.62200000000001</v>
      </c>
      <c r="J6" s="358"/>
      <c r="K6" s="33"/>
    </row>
    <row r="7" spans="1:11">
      <c r="A7" s="199" t="s">
        <v>296</v>
      </c>
      <c r="B7" s="198" t="s">
        <v>275</v>
      </c>
      <c r="C7" s="199">
        <v>473.029</v>
      </c>
      <c r="D7" s="199">
        <f t="shared" si="0"/>
        <v>466.726</v>
      </c>
      <c r="E7" s="200">
        <f t="shared" ref="E7:E25" si="1">D7/C7</f>
        <v>0.98667523555638237</v>
      </c>
      <c r="F7" s="343"/>
      <c r="G7" s="343" t="s">
        <v>275</v>
      </c>
      <c r="H7" s="78">
        <v>466.726</v>
      </c>
    </row>
    <row r="8" spans="1:11" ht="15" customHeight="1">
      <c r="A8" s="199" t="s">
        <v>474</v>
      </c>
      <c r="B8" s="198" t="s">
        <v>467</v>
      </c>
      <c r="C8" s="199">
        <v>98.963999999999999</v>
      </c>
      <c r="D8" s="199">
        <f t="shared" si="0"/>
        <v>97.200999999999993</v>
      </c>
      <c r="E8" s="200">
        <f t="shared" si="1"/>
        <v>0.98218544117052664</v>
      </c>
      <c r="F8" s="343"/>
      <c r="G8" s="343" t="s">
        <v>467</v>
      </c>
      <c r="H8" s="78">
        <v>97.200999999999993</v>
      </c>
      <c r="I8" s="6"/>
      <c r="J8" s="6"/>
    </row>
    <row r="9" spans="1:11">
      <c r="A9" s="199" t="s">
        <v>473</v>
      </c>
      <c r="B9" s="198" t="s">
        <v>454</v>
      </c>
      <c r="C9" s="199">
        <v>466.48099999999999</v>
      </c>
      <c r="D9" s="199">
        <f t="shared" si="0"/>
        <v>463.755</v>
      </c>
      <c r="E9" s="200">
        <f t="shared" si="1"/>
        <v>0.99415624644948031</v>
      </c>
      <c r="F9" s="343"/>
      <c r="G9" s="343" t="s">
        <v>454</v>
      </c>
      <c r="H9" s="78">
        <v>463.755</v>
      </c>
    </row>
    <row r="10" spans="1:11" s="6" customFormat="1">
      <c r="A10" s="199" t="s">
        <v>293</v>
      </c>
      <c r="B10" s="198" t="s">
        <v>198</v>
      </c>
      <c r="C10" s="199">
        <v>548.76499999999999</v>
      </c>
      <c r="D10" s="199">
        <v>567.09199999999998</v>
      </c>
      <c r="E10" s="200">
        <f t="shared" si="1"/>
        <v>1.0333968091988375</v>
      </c>
      <c r="F10" s="342"/>
      <c r="G10" s="342" t="s">
        <v>198</v>
      </c>
      <c r="H10" s="76">
        <v>563.50300000000004</v>
      </c>
      <c r="I10" s="265"/>
      <c r="J10" s="265"/>
    </row>
    <row r="11" spans="1:11">
      <c r="A11" s="199" t="s">
        <v>310</v>
      </c>
      <c r="B11" s="198" t="s">
        <v>453</v>
      </c>
      <c r="C11" s="199">
        <v>277.97199999999998</v>
      </c>
      <c r="D11" s="199">
        <f t="shared" si="0"/>
        <v>289.59899999999999</v>
      </c>
      <c r="E11" s="200">
        <f t="shared" si="1"/>
        <v>1.0418279538946369</v>
      </c>
      <c r="F11" s="343"/>
      <c r="G11" s="343" t="s">
        <v>453</v>
      </c>
      <c r="H11" s="78">
        <v>289.59899999999999</v>
      </c>
    </row>
    <row r="12" spans="1:11">
      <c r="A12" s="199" t="s">
        <v>294</v>
      </c>
      <c r="B12" s="198" t="s">
        <v>197</v>
      </c>
      <c r="C12" s="199">
        <v>451.49599999999998</v>
      </c>
      <c r="D12" s="199">
        <f t="shared" si="0"/>
        <v>455.05700000000002</v>
      </c>
      <c r="E12" s="200">
        <f t="shared" si="1"/>
        <v>1.0078871130641247</v>
      </c>
      <c r="F12" s="343"/>
      <c r="G12" s="343" t="s">
        <v>197</v>
      </c>
      <c r="H12" s="78">
        <v>455.05700000000002</v>
      </c>
    </row>
    <row r="13" spans="1:11">
      <c r="A13" s="199" t="s">
        <v>297</v>
      </c>
      <c r="B13" s="198" t="s">
        <v>200</v>
      </c>
      <c r="C13" s="199">
        <v>443.55900000000003</v>
      </c>
      <c r="D13" s="199">
        <f t="shared" si="0"/>
        <v>449.67700000000002</v>
      </c>
      <c r="E13" s="200">
        <f t="shared" si="1"/>
        <v>1.0137929790625373</v>
      </c>
      <c r="F13" s="343"/>
      <c r="G13" s="343" t="s">
        <v>200</v>
      </c>
      <c r="H13" s="78">
        <v>449.67700000000002</v>
      </c>
    </row>
    <row r="14" spans="1:11">
      <c r="A14" s="199" t="s">
        <v>303</v>
      </c>
      <c r="B14" s="198" t="s">
        <v>276</v>
      </c>
      <c r="C14" s="199">
        <v>412.67500000000001</v>
      </c>
      <c r="D14" s="199">
        <f t="shared" si="0"/>
        <v>410.94400000000002</v>
      </c>
      <c r="E14" s="200">
        <f t="shared" si="1"/>
        <v>0.99580541588417038</v>
      </c>
      <c r="F14" s="343"/>
      <c r="G14" s="343" t="s">
        <v>276</v>
      </c>
      <c r="H14" s="78">
        <v>410.94400000000002</v>
      </c>
    </row>
    <row r="15" spans="1:11">
      <c r="A15" s="199" t="s">
        <v>298</v>
      </c>
      <c r="B15" s="198" t="s">
        <v>277</v>
      </c>
      <c r="C15" s="199">
        <v>411.18599999999998</v>
      </c>
      <c r="D15" s="199">
        <f t="shared" si="0"/>
        <v>417.77100000000002</v>
      </c>
      <c r="E15" s="200">
        <f t="shared" si="1"/>
        <v>1.016014650304242</v>
      </c>
      <c r="F15" s="343"/>
      <c r="G15" s="343" t="s">
        <v>277</v>
      </c>
      <c r="H15" s="78">
        <v>417.77100000000002</v>
      </c>
    </row>
    <row r="16" spans="1:11">
      <c r="A16" s="199" t="s">
        <v>299</v>
      </c>
      <c r="B16" s="197" t="s">
        <v>278</v>
      </c>
      <c r="C16" s="199">
        <v>863.49800000000005</v>
      </c>
      <c r="D16" s="199">
        <f t="shared" si="0"/>
        <v>862.97699999999998</v>
      </c>
      <c r="E16" s="200">
        <f t="shared" si="1"/>
        <v>0.99939664017751051</v>
      </c>
      <c r="F16" s="343"/>
      <c r="G16" s="343" t="s">
        <v>278</v>
      </c>
      <c r="H16" s="78">
        <v>862.97699999999998</v>
      </c>
    </row>
    <row r="17" spans="1:10">
      <c r="A17" s="199" t="s">
        <v>295</v>
      </c>
      <c r="B17" s="382" t="s">
        <v>279</v>
      </c>
      <c r="C17" s="199">
        <v>1128.8050000000001</v>
      </c>
      <c r="D17" s="199">
        <f t="shared" si="0"/>
        <v>1082.5930000000001</v>
      </c>
      <c r="E17" s="200">
        <f t="shared" si="1"/>
        <v>0.95906113101908652</v>
      </c>
      <c r="F17" s="343"/>
      <c r="G17" s="343" t="s">
        <v>279</v>
      </c>
      <c r="H17" s="78">
        <v>1082.5930000000001</v>
      </c>
      <c r="I17" s="6"/>
      <c r="J17" s="6"/>
    </row>
    <row r="18" spans="1:10" s="6" customFormat="1">
      <c r="A18" s="199" t="s">
        <v>304</v>
      </c>
      <c r="B18" s="198" t="s">
        <v>384</v>
      </c>
      <c r="C18" s="199">
        <v>1061.635</v>
      </c>
      <c r="D18" s="199">
        <f t="shared" si="0"/>
        <v>1078.412</v>
      </c>
      <c r="E18" s="200">
        <f t="shared" si="1"/>
        <v>1.0158029831345048</v>
      </c>
      <c r="F18" s="342"/>
      <c r="G18" s="342" t="s">
        <v>384</v>
      </c>
      <c r="H18" s="76">
        <v>1078.412</v>
      </c>
      <c r="I18" s="265"/>
      <c r="J18" s="265"/>
    </row>
    <row r="19" spans="1:10">
      <c r="A19" s="199" t="s">
        <v>305</v>
      </c>
      <c r="B19" s="198" t="s">
        <v>280</v>
      </c>
      <c r="C19" s="199">
        <v>1360.703</v>
      </c>
      <c r="D19" s="199">
        <f t="shared" si="0"/>
        <v>1336.0809999999999</v>
      </c>
      <c r="E19" s="200">
        <f t="shared" si="1"/>
        <v>0.98190494178376908</v>
      </c>
      <c r="F19" s="343"/>
      <c r="G19" s="343" t="s">
        <v>280</v>
      </c>
      <c r="H19" s="78">
        <v>1336.0809999999999</v>
      </c>
    </row>
    <row r="20" spans="1:10">
      <c r="A20" s="199" t="s">
        <v>475</v>
      </c>
      <c r="B20" s="198" t="s">
        <v>281</v>
      </c>
      <c r="C20" s="199">
        <v>370.24400000000003</v>
      </c>
      <c r="D20" s="199">
        <f t="shared" si="0"/>
        <v>354.76799999999997</v>
      </c>
      <c r="E20" s="200">
        <f t="shared" si="1"/>
        <v>0.95820053802357352</v>
      </c>
      <c r="F20" s="343"/>
      <c r="G20" s="343" t="s">
        <v>281</v>
      </c>
      <c r="H20" s="78">
        <v>354.76799999999997</v>
      </c>
    </row>
    <row r="21" spans="1:10">
      <c r="A21" s="199" t="s">
        <v>306</v>
      </c>
      <c r="B21" s="198" t="s">
        <v>282</v>
      </c>
      <c r="C21" s="199">
        <v>495.01299999999998</v>
      </c>
      <c r="D21" s="199">
        <f t="shared" si="0"/>
        <v>480.99299999999999</v>
      </c>
      <c r="E21" s="200">
        <f t="shared" si="1"/>
        <v>0.97167751149969805</v>
      </c>
      <c r="F21" s="344"/>
      <c r="G21" s="344" t="s">
        <v>282</v>
      </c>
      <c r="H21" s="79">
        <v>480.99299999999999</v>
      </c>
    </row>
    <row r="22" spans="1:10">
      <c r="A22" s="199" t="s">
        <v>300</v>
      </c>
      <c r="B22" s="198" t="s">
        <v>199</v>
      </c>
      <c r="C22" s="199">
        <v>263.33300000000003</v>
      </c>
      <c r="D22" s="199">
        <v>262.44400000000002</v>
      </c>
      <c r="E22" s="200">
        <f t="shared" si="1"/>
        <v>0.99662404635955226</v>
      </c>
      <c r="F22" s="343"/>
      <c r="G22" s="343" t="s">
        <v>199</v>
      </c>
      <c r="H22" s="78">
        <v>262.38600000000002</v>
      </c>
      <c r="I22" s="91"/>
    </row>
    <row r="23" spans="1:10">
      <c r="A23" s="199" t="s">
        <v>301</v>
      </c>
      <c r="B23" s="197" t="s">
        <v>283</v>
      </c>
      <c r="C23" s="199">
        <v>835.548</v>
      </c>
      <c r="D23" s="199">
        <f t="shared" si="0"/>
        <v>833.03599999999994</v>
      </c>
      <c r="E23" s="200">
        <f t="shared" si="1"/>
        <v>0.99699358983565267</v>
      </c>
      <c r="F23" s="343"/>
      <c r="G23" s="343" t="s">
        <v>283</v>
      </c>
      <c r="H23" s="78">
        <v>833.03599999999994</v>
      </c>
      <c r="I23" s="91"/>
    </row>
    <row r="24" spans="1:10">
      <c r="A24" s="199" t="s">
        <v>307</v>
      </c>
      <c r="B24" s="197" t="s">
        <v>284</v>
      </c>
      <c r="C24" s="199">
        <v>905.84799999999996</v>
      </c>
      <c r="D24" s="199">
        <f t="shared" si="0"/>
        <v>908.83799999999997</v>
      </c>
      <c r="E24" s="200">
        <f t="shared" si="1"/>
        <v>1.0033007745228779</v>
      </c>
      <c r="F24" s="343"/>
      <c r="G24" s="343" t="s">
        <v>284</v>
      </c>
      <c r="H24" s="78">
        <v>908.83799999999997</v>
      </c>
      <c r="I24" s="91"/>
    </row>
    <row r="25" spans="1:10">
      <c r="A25" s="199" t="s">
        <v>476</v>
      </c>
      <c r="B25" s="197" t="s">
        <v>285</v>
      </c>
      <c r="C25" s="199">
        <v>835.39</v>
      </c>
      <c r="D25" s="199">
        <f t="shared" si="0"/>
        <v>830.779</v>
      </c>
      <c r="E25" s="200">
        <f t="shared" si="1"/>
        <v>0.99448042231771983</v>
      </c>
      <c r="F25" s="343"/>
      <c r="G25" s="343" t="s">
        <v>285</v>
      </c>
      <c r="H25" s="78">
        <v>830.779</v>
      </c>
      <c r="I25" s="91"/>
    </row>
    <row r="26" spans="1:10">
      <c r="A26" s="199" t="s">
        <v>302</v>
      </c>
      <c r="B26" s="197" t="s">
        <v>286</v>
      </c>
      <c r="C26" s="199">
        <v>139.898</v>
      </c>
      <c r="D26" s="199">
        <f t="shared" si="0"/>
        <v>142.316</v>
      </c>
      <c r="E26" s="200">
        <f>D26/C26</f>
        <v>1.017284021215457</v>
      </c>
      <c r="F26" s="343"/>
      <c r="G26" s="343" t="s">
        <v>286</v>
      </c>
      <c r="H26" s="78">
        <v>142.316</v>
      </c>
      <c r="I26" s="91"/>
    </row>
    <row r="27" spans="1:10">
      <c r="A27" s="199" t="s">
        <v>308</v>
      </c>
      <c r="B27" s="197" t="s">
        <v>287</v>
      </c>
      <c r="C27" s="199">
        <v>170.00399999999999</v>
      </c>
      <c r="D27" s="199">
        <f t="shared" si="0"/>
        <v>161.66300000000001</v>
      </c>
      <c r="E27" s="200">
        <f>D27/C27</f>
        <v>0.95093644855415183</v>
      </c>
      <c r="F27" s="343"/>
      <c r="G27" s="343" t="s">
        <v>287</v>
      </c>
      <c r="H27" s="78">
        <v>161.66300000000001</v>
      </c>
    </row>
    <row r="28" spans="1:10">
      <c r="A28" s="199" t="s">
        <v>309</v>
      </c>
      <c r="B28" s="198" t="s">
        <v>288</v>
      </c>
      <c r="C28" s="199">
        <v>159.239</v>
      </c>
      <c r="D28" s="199">
        <f t="shared" si="0"/>
        <v>157.602</v>
      </c>
      <c r="E28" s="200">
        <f>D28/C28</f>
        <v>0.98971985506063209</v>
      </c>
      <c r="G28" s="345" t="s">
        <v>288</v>
      </c>
      <c r="H28" s="84">
        <v>157.602</v>
      </c>
      <c r="I28" s="6"/>
      <c r="J28" s="6"/>
    </row>
    <row r="29" spans="1:10" s="6" customFormat="1">
      <c r="A29" s="199" t="s">
        <v>477</v>
      </c>
      <c r="B29" s="198" t="s">
        <v>468</v>
      </c>
      <c r="C29" s="199">
        <v>146.32499999999999</v>
      </c>
      <c r="D29" s="199">
        <f t="shared" si="0"/>
        <v>142.61799999999999</v>
      </c>
      <c r="E29" s="200">
        <f t="shared" ref="E29:E33" si="2">D29/C29</f>
        <v>0.97466598325644971</v>
      </c>
      <c r="F29" s="342"/>
      <c r="G29" s="342" t="s">
        <v>468</v>
      </c>
      <c r="H29" s="76">
        <v>142.61799999999999</v>
      </c>
      <c r="I29" s="265"/>
      <c r="J29" s="265"/>
    </row>
    <row r="30" spans="1:10">
      <c r="A30" s="199" t="s">
        <v>478</v>
      </c>
      <c r="B30" s="198" t="s">
        <v>469</v>
      </c>
      <c r="C30" s="199">
        <v>137.001</v>
      </c>
      <c r="D30" s="199">
        <f t="shared" si="0"/>
        <v>135.55600000000001</v>
      </c>
      <c r="E30" s="200">
        <f t="shared" si="2"/>
        <v>0.98945263173261511</v>
      </c>
      <c r="F30" s="343"/>
      <c r="G30" s="343" t="s">
        <v>469</v>
      </c>
      <c r="H30" s="78">
        <v>135.55600000000001</v>
      </c>
      <c r="I30" s="91"/>
    </row>
    <row r="31" spans="1:10">
      <c r="A31" s="199" t="s">
        <v>479</v>
      </c>
      <c r="B31" s="198" t="s">
        <v>470</v>
      </c>
      <c r="C31" s="199">
        <v>142.49600000000001</v>
      </c>
      <c r="D31" s="199">
        <f t="shared" si="0"/>
        <v>139.85400000000001</v>
      </c>
      <c r="E31" s="200">
        <f t="shared" si="2"/>
        <v>0.98145912867729623</v>
      </c>
      <c r="F31" s="343"/>
      <c r="G31" s="343" t="s">
        <v>470</v>
      </c>
      <c r="H31" s="78">
        <v>139.85400000000001</v>
      </c>
      <c r="I31" s="91"/>
    </row>
    <row r="32" spans="1:10">
      <c r="A32" s="199" t="s">
        <v>480</v>
      </c>
      <c r="B32" s="198" t="s">
        <v>471</v>
      </c>
      <c r="C32" s="199">
        <v>144.82599999999999</v>
      </c>
      <c r="D32" s="199">
        <f t="shared" si="0"/>
        <v>144.38999999999999</v>
      </c>
      <c r="E32" s="200">
        <f t="shared" si="2"/>
        <v>0.9969894908372805</v>
      </c>
      <c r="F32" s="343"/>
      <c r="G32" s="343" t="s">
        <v>471</v>
      </c>
      <c r="H32" s="78">
        <v>144.38999999999999</v>
      </c>
    </row>
    <row r="33" spans="1:14">
      <c r="A33" s="199" t="s">
        <v>481</v>
      </c>
      <c r="B33" s="198" t="s">
        <v>472</v>
      </c>
      <c r="C33" s="199">
        <v>117.68</v>
      </c>
      <c r="D33" s="199">
        <f t="shared" si="0"/>
        <v>114.631</v>
      </c>
      <c r="E33" s="200">
        <f t="shared" si="2"/>
        <v>0.97409075458871508</v>
      </c>
      <c r="F33" s="341"/>
      <c r="G33" s="341" t="s">
        <v>472</v>
      </c>
      <c r="H33" s="268">
        <v>114.631</v>
      </c>
      <c r="K33" s="266"/>
      <c r="L33" s="266"/>
      <c r="M33" s="266"/>
      <c r="N33" s="266"/>
    </row>
    <row r="34" spans="1:14">
      <c r="A34" s="359"/>
      <c r="B34" s="14"/>
      <c r="C34" s="359"/>
      <c r="D34" s="359"/>
      <c r="E34" s="359"/>
      <c r="F34" s="341"/>
      <c r="G34" s="341"/>
      <c r="H34" s="268"/>
      <c r="K34" s="266"/>
      <c r="L34" s="266"/>
      <c r="M34" s="266"/>
      <c r="N34" s="266"/>
    </row>
    <row r="35" spans="1:14">
      <c r="A35" s="9"/>
      <c r="B35" s="8"/>
      <c r="C35" s="9"/>
      <c r="D35" s="9"/>
      <c r="E35" s="9"/>
      <c r="F35" s="341"/>
      <c r="G35" s="341"/>
      <c r="H35" s="268"/>
      <c r="K35" s="266"/>
      <c r="L35" s="266"/>
      <c r="M35" s="266"/>
      <c r="N35" s="266"/>
    </row>
    <row r="36" spans="1:14">
      <c r="A36" s="9"/>
      <c r="B36" s="8"/>
      <c r="C36" s="9"/>
      <c r="D36" s="9"/>
      <c r="E36" s="9"/>
      <c r="F36" s="341"/>
      <c r="G36" s="341"/>
      <c r="H36" s="268"/>
      <c r="K36" s="266"/>
      <c r="L36" s="266"/>
      <c r="M36" s="266"/>
      <c r="N36" s="266"/>
    </row>
    <row r="37" spans="1:14">
      <c r="A37" s="9"/>
      <c r="B37" s="8"/>
      <c r="C37" s="9"/>
      <c r="D37" s="9"/>
      <c r="E37" s="9"/>
      <c r="F37" s="341"/>
      <c r="G37" s="341"/>
      <c r="H37" s="268"/>
      <c r="K37" s="266"/>
      <c r="L37" s="266"/>
      <c r="M37" s="266"/>
      <c r="N37" s="266"/>
    </row>
    <row r="38" spans="1:14">
      <c r="A38" s="9"/>
      <c r="B38" s="8"/>
      <c r="C38" s="9"/>
      <c r="D38" s="9"/>
      <c r="E38" s="9"/>
      <c r="F38" s="341"/>
      <c r="G38" s="341"/>
      <c r="H38" s="268"/>
      <c r="K38" s="266"/>
      <c r="L38" s="266"/>
      <c r="M38" s="266"/>
      <c r="N38" s="266"/>
    </row>
    <row r="39" spans="1:14">
      <c r="A39" s="9"/>
      <c r="B39" s="8"/>
      <c r="C39" s="9"/>
      <c r="D39" s="9"/>
      <c r="E39" s="9"/>
      <c r="F39" s="341"/>
      <c r="G39" s="341"/>
      <c r="H39" s="268"/>
      <c r="K39" s="266"/>
      <c r="L39" s="266"/>
      <c r="M39" s="266"/>
      <c r="N39" s="266"/>
    </row>
    <row r="40" spans="1:14">
      <c r="A40" s="9"/>
      <c r="B40" s="8"/>
      <c r="C40" s="9"/>
      <c r="D40" s="9"/>
      <c r="E40" s="9"/>
      <c r="F40" s="341"/>
      <c r="G40" s="341"/>
      <c r="H40" s="268"/>
      <c r="K40" s="266"/>
      <c r="L40" s="266"/>
      <c r="M40" s="266"/>
      <c r="N40" s="266"/>
    </row>
    <row r="41" spans="1:14">
      <c r="A41" s="9"/>
      <c r="B41" s="8"/>
      <c r="C41" s="9"/>
      <c r="D41" s="9"/>
      <c r="E41" s="9"/>
      <c r="F41" s="341"/>
      <c r="G41" s="341"/>
      <c r="H41" s="268"/>
      <c r="K41" s="266"/>
      <c r="L41" s="266"/>
      <c r="M41" s="266"/>
      <c r="N41" s="266"/>
    </row>
    <row r="42" spans="1:14">
      <c r="A42" s="9"/>
      <c r="B42" s="8"/>
      <c r="C42" s="9"/>
      <c r="D42" s="9"/>
      <c r="E42" s="9"/>
      <c r="F42" s="341"/>
      <c r="G42" s="341"/>
      <c r="H42" s="268"/>
      <c r="K42" s="266"/>
      <c r="L42" s="266"/>
      <c r="M42" s="266"/>
      <c r="N42" s="266"/>
    </row>
    <row r="43" spans="1:14">
      <c r="A43" s="9"/>
      <c r="B43" s="8"/>
      <c r="C43" s="9"/>
      <c r="D43" s="9"/>
      <c r="E43" s="9"/>
      <c r="F43" s="341"/>
      <c r="G43" s="341"/>
      <c r="H43" s="268"/>
      <c r="K43" s="266"/>
      <c r="L43" s="266"/>
      <c r="M43" s="266"/>
      <c r="N43" s="266"/>
    </row>
    <row r="44" spans="1:14">
      <c r="A44" s="9"/>
      <c r="B44" s="8"/>
      <c r="C44" s="9"/>
      <c r="D44" s="9"/>
      <c r="E44" s="9"/>
      <c r="F44" s="341"/>
      <c r="G44" s="341"/>
      <c r="H44" s="268"/>
      <c r="K44" s="266"/>
      <c r="L44" s="266"/>
      <c r="M44" s="266"/>
      <c r="N44" s="266"/>
    </row>
    <row r="45" spans="1:14">
      <c r="A45" s="9"/>
      <c r="B45" s="8"/>
      <c r="C45" s="9"/>
      <c r="D45" s="9"/>
      <c r="E45" s="9"/>
      <c r="F45" s="341"/>
      <c r="G45" s="341"/>
      <c r="H45" s="268"/>
      <c r="K45" s="266"/>
      <c r="L45" s="266"/>
      <c r="M45" s="266"/>
      <c r="N45" s="266"/>
    </row>
    <row r="46" spans="1:14">
      <c r="A46" s="9"/>
      <c r="B46" s="8"/>
      <c r="C46" s="9"/>
      <c r="D46" s="9"/>
      <c r="E46" s="9"/>
      <c r="F46" s="341"/>
      <c r="G46" s="341"/>
      <c r="H46" s="268"/>
      <c r="K46" s="266"/>
      <c r="L46" s="266"/>
      <c r="M46" s="266"/>
      <c r="N46" s="266"/>
    </row>
    <row r="47" spans="1:14">
      <c r="A47" s="9"/>
      <c r="B47" s="8"/>
      <c r="C47" s="9"/>
      <c r="D47" s="9"/>
      <c r="E47" s="9"/>
      <c r="F47" s="341"/>
      <c r="G47" s="341"/>
      <c r="H47" s="268"/>
      <c r="K47" s="266"/>
      <c r="L47" s="266"/>
      <c r="M47" s="266"/>
      <c r="N47" s="266"/>
    </row>
    <row r="48" spans="1:14">
      <c r="A48" s="9"/>
      <c r="B48" s="8"/>
      <c r="C48" s="9"/>
      <c r="D48" s="9"/>
      <c r="E48" s="9"/>
      <c r="F48" s="341"/>
      <c r="G48" s="341"/>
      <c r="H48" s="268"/>
      <c r="K48" s="266"/>
      <c r="L48" s="266"/>
      <c r="M48" s="266"/>
      <c r="N48" s="266"/>
    </row>
    <row r="49" spans="1:14">
      <c r="A49" s="9"/>
      <c r="B49" s="8"/>
      <c r="C49" s="9"/>
      <c r="D49" s="9"/>
      <c r="E49" s="9"/>
      <c r="F49" s="341"/>
      <c r="G49" s="341"/>
      <c r="H49" s="268"/>
      <c r="K49" s="266"/>
      <c r="L49" s="266"/>
      <c r="M49" s="266"/>
      <c r="N49" s="266"/>
    </row>
    <row r="50" spans="1:14">
      <c r="A50" s="9"/>
      <c r="B50" s="8"/>
      <c r="C50" s="9"/>
      <c r="D50" s="9"/>
      <c r="E50" s="9"/>
      <c r="F50" s="341"/>
      <c r="G50" s="341"/>
      <c r="H50" s="268"/>
      <c r="K50" s="266"/>
      <c r="L50" s="266"/>
      <c r="M50" s="266"/>
      <c r="N50" s="266"/>
    </row>
    <row r="51" spans="1:14">
      <c r="A51" s="9"/>
      <c r="B51" s="8"/>
      <c r="C51" s="9"/>
      <c r="D51" s="9"/>
      <c r="E51" s="9"/>
      <c r="F51" s="341"/>
      <c r="G51" s="341"/>
      <c r="H51" s="268"/>
      <c r="K51" s="266"/>
      <c r="L51" s="266"/>
      <c r="M51" s="266"/>
      <c r="N51" s="266"/>
    </row>
    <row r="52" spans="1:14">
      <c r="A52" s="9"/>
      <c r="B52" s="8"/>
      <c r="C52" s="9"/>
      <c r="D52" s="9"/>
      <c r="E52" s="9"/>
      <c r="F52" s="341"/>
      <c r="G52" s="341"/>
      <c r="H52" s="268"/>
      <c r="K52" s="266"/>
      <c r="L52" s="266"/>
      <c r="M52" s="266"/>
      <c r="N52" s="266"/>
    </row>
    <row r="53" spans="1:14">
      <c r="A53" s="9"/>
      <c r="B53" s="8"/>
      <c r="C53" s="9"/>
      <c r="D53" s="9"/>
      <c r="E53" s="9"/>
      <c r="F53" s="341"/>
      <c r="G53" s="341"/>
      <c r="H53" s="268"/>
      <c r="K53" s="266"/>
      <c r="L53" s="266"/>
      <c r="M53" s="266"/>
      <c r="N53" s="266"/>
    </row>
    <row r="54" spans="1:14">
      <c r="A54" s="9"/>
      <c r="B54" s="8"/>
      <c r="C54" s="9"/>
      <c r="D54" s="9"/>
      <c r="E54" s="9"/>
      <c r="F54" s="341"/>
      <c r="G54" s="341"/>
      <c r="H54" s="268"/>
      <c r="K54" s="266"/>
      <c r="L54" s="266"/>
      <c r="M54" s="266"/>
      <c r="N54" s="266"/>
    </row>
    <row r="55" spans="1:14">
      <c r="A55" s="9"/>
      <c r="B55" s="8"/>
      <c r="C55" s="9"/>
      <c r="D55" s="9"/>
      <c r="E55" s="9"/>
      <c r="F55" s="341"/>
      <c r="G55" s="341"/>
      <c r="H55" s="268"/>
      <c r="K55" s="266"/>
      <c r="L55" s="266"/>
      <c r="M55" s="266"/>
      <c r="N55" s="266"/>
    </row>
    <row r="56" spans="1:14">
      <c r="A56" s="9"/>
      <c r="B56" s="8"/>
      <c r="C56" s="9"/>
      <c r="D56" s="9"/>
      <c r="E56" s="9"/>
      <c r="F56" s="341"/>
      <c r="G56" s="341"/>
      <c r="H56" s="268"/>
      <c r="K56" s="266"/>
      <c r="L56" s="266"/>
      <c r="M56" s="266"/>
      <c r="N56" s="266"/>
    </row>
    <row r="57" spans="1:14">
      <c r="A57" s="9"/>
      <c r="B57" s="8"/>
      <c r="C57" s="9"/>
      <c r="D57" s="9"/>
      <c r="E57" s="9"/>
      <c r="F57" s="341"/>
      <c r="G57" s="341"/>
      <c r="H57" s="268"/>
      <c r="K57" s="266"/>
      <c r="L57" s="266"/>
      <c r="M57" s="266"/>
      <c r="N57" s="266"/>
    </row>
    <row r="58" spans="1:14">
      <c r="A58" s="9"/>
      <c r="B58" s="8"/>
      <c r="C58" s="9"/>
      <c r="D58" s="9"/>
      <c r="E58" s="9"/>
      <c r="F58" s="341"/>
      <c r="G58" s="341"/>
      <c r="H58" s="268"/>
      <c r="K58" s="266"/>
      <c r="L58" s="266"/>
      <c r="M58" s="266"/>
      <c r="N58" s="266"/>
    </row>
    <row r="59" spans="1:14">
      <c r="A59" s="9"/>
      <c r="B59" s="8"/>
      <c r="C59" s="9"/>
      <c r="D59" s="9"/>
      <c r="E59" s="9"/>
      <c r="F59" s="341"/>
      <c r="G59" s="341"/>
      <c r="H59" s="268"/>
      <c r="K59" s="266"/>
      <c r="L59" s="266"/>
      <c r="M59" s="266"/>
      <c r="N59" s="266"/>
    </row>
    <row r="60" spans="1:14">
      <c r="A60" s="8"/>
      <c r="B60" s="8"/>
      <c r="C60" s="9"/>
      <c r="D60" s="9"/>
      <c r="E60" s="9"/>
      <c r="F60" s="341"/>
      <c r="G60" s="341"/>
      <c r="H60" s="268"/>
      <c r="K60" s="266"/>
      <c r="L60" s="266"/>
      <c r="M60" s="266"/>
      <c r="N60" s="266"/>
    </row>
    <row r="61" spans="1:14">
      <c r="A61" s="8"/>
      <c r="B61" s="8"/>
      <c r="C61" s="9"/>
      <c r="D61" s="9"/>
      <c r="E61" s="9"/>
      <c r="F61" s="341"/>
      <c r="G61" s="341"/>
      <c r="H61" s="268"/>
    </row>
    <row r="62" spans="1:14">
      <c r="A62" s="8"/>
      <c r="B62" s="8"/>
      <c r="C62" s="9"/>
      <c r="D62" s="9"/>
      <c r="E62" s="9"/>
      <c r="F62" s="341"/>
      <c r="G62" s="341"/>
      <c r="H62" s="268"/>
    </row>
    <row r="63" spans="1:14">
      <c r="A63" s="8"/>
      <c r="B63" s="8"/>
      <c r="C63" s="9"/>
      <c r="D63" s="32"/>
      <c r="E63" s="474"/>
      <c r="F63" s="341"/>
      <c r="G63" s="341"/>
      <c r="H63" s="268"/>
    </row>
    <row r="64" spans="1:14">
      <c r="A64" s="8"/>
      <c r="B64" s="8"/>
      <c r="C64" s="9"/>
      <c r="D64" s="9"/>
      <c r="E64" s="9"/>
      <c r="F64" s="346"/>
      <c r="G64" s="346"/>
      <c r="H64" s="82"/>
    </row>
    <row r="65" spans="1:14" s="267" customFormat="1">
      <c r="A65" s="265"/>
      <c r="B65" s="265"/>
      <c r="C65" s="347"/>
      <c r="D65" s="347"/>
      <c r="E65" s="347"/>
      <c r="F65" s="341"/>
      <c r="G65" s="341"/>
      <c r="H65" s="268"/>
      <c r="I65" s="265"/>
      <c r="J65" s="265"/>
      <c r="K65" s="265"/>
      <c r="L65" s="265"/>
      <c r="M65" s="265"/>
      <c r="N65" s="265"/>
    </row>
    <row r="67" spans="1:14" s="267" customFormat="1">
      <c r="A67" s="265"/>
      <c r="B67" s="265"/>
      <c r="C67" s="347"/>
      <c r="D67" s="347"/>
      <c r="E67" s="347"/>
      <c r="F67" s="345"/>
      <c r="G67" s="345"/>
      <c r="H67" s="84"/>
      <c r="I67" s="265"/>
      <c r="J67" s="265"/>
      <c r="K67" s="265"/>
      <c r="L67" s="265"/>
      <c r="M67" s="265"/>
      <c r="N67" s="265"/>
    </row>
    <row r="68" spans="1:14" s="267" customFormat="1">
      <c r="A68" s="265"/>
      <c r="B68" s="265"/>
      <c r="C68" s="347"/>
      <c r="D68" s="347"/>
      <c r="E68" s="347"/>
      <c r="F68" s="345"/>
      <c r="G68" s="345"/>
      <c r="H68" s="83"/>
      <c r="I68" s="265"/>
      <c r="J68" s="265"/>
      <c r="K68" s="265"/>
      <c r="L68" s="265"/>
      <c r="M68" s="265"/>
      <c r="N68" s="265"/>
    </row>
    <row r="69" spans="1:14" s="267" customFormat="1">
      <c r="A69" s="265"/>
      <c r="B69" s="265"/>
      <c r="C69" s="347"/>
      <c r="D69" s="347"/>
      <c r="E69" s="347"/>
      <c r="F69" s="345"/>
      <c r="G69" s="345"/>
      <c r="H69" s="84"/>
      <c r="I69" s="265"/>
      <c r="J69" s="265"/>
      <c r="K69" s="265"/>
      <c r="L69" s="265"/>
      <c r="M69" s="265"/>
      <c r="N69" s="265"/>
    </row>
  </sheetData>
  <mergeCells count="4">
    <mergeCell ref="C2:D2"/>
    <mergeCell ref="C3:D3"/>
    <mergeCell ref="B1:E1"/>
    <mergeCell ref="A1:A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&amp;CEng° Darcio Pagani Vieira
Crea/SC - 077.222-9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F35"/>
  <sheetViews>
    <sheetView showGridLines="0" view="pageBreakPreview" zoomScaleNormal="100" zoomScaleSheetLayoutView="100" workbookViewId="0">
      <selection activeCell="D21" sqref="D21"/>
    </sheetView>
  </sheetViews>
  <sheetFormatPr defaultRowHeight="14.4"/>
  <cols>
    <col min="1" max="1" width="16.44140625" customWidth="1"/>
    <col min="2" max="2" width="66.33203125" style="265" customWidth="1"/>
    <col min="3" max="3" width="30.44140625" bestFit="1" customWidth="1"/>
    <col min="4" max="4" width="29.88671875" bestFit="1" customWidth="1"/>
    <col min="5" max="5" width="25.33203125" customWidth="1"/>
    <col min="6" max="6" width="9.5546875" bestFit="1" customWidth="1"/>
  </cols>
  <sheetData>
    <row r="1" spans="1:6" ht="49.5" customHeight="1">
      <c r="A1" s="998" t="s">
        <v>525</v>
      </c>
      <c r="B1" s="997" t="s">
        <v>187</v>
      </c>
      <c r="C1" s="997"/>
      <c r="D1" s="997"/>
      <c r="E1" s="414"/>
    </row>
    <row r="2" spans="1:6" ht="15.75" customHeight="1">
      <c r="A2" s="999"/>
      <c r="B2" s="475" t="str">
        <f>PAVIM.!$G$2</f>
        <v>PREFEITURA MUNICIPAL DE MARACAJÁ</v>
      </c>
      <c r="C2" s="476" t="str">
        <f>PAVIM.!$I$2</f>
        <v>BAIRRO: VILA BEATRIZ</v>
      </c>
      <c r="D2" s="476" t="str">
        <f>PAVIM.!$M$2</f>
        <v>ESTADO: SANTA CATARINA</v>
      </c>
      <c r="E2" s="415"/>
    </row>
    <row r="3" spans="1:6" ht="15.75" customHeight="1">
      <c r="A3" s="1000"/>
      <c r="B3" s="647" t="str">
        <f>PAVIM.!G3</f>
        <v>RUA JOSÉ MARQUES, RUA VEREADOR FLÁVIO ROCHA, RUA 156 e RUA CRICIÚMA</v>
      </c>
      <c r="C3" s="475" t="str">
        <f>PAVIM.!$K$2</f>
        <v>MUNICIPIO: MARACAJÁ</v>
      </c>
      <c r="D3" s="477" t="str">
        <f ca="1">PAVIM.!$M$3</f>
        <v>DATA: 15/10/24</v>
      </c>
      <c r="E3" s="416"/>
    </row>
    <row r="4" spans="1:6" ht="15.6">
      <c r="A4" s="412"/>
      <c r="B4" s="411"/>
      <c r="C4" s="104"/>
      <c r="D4" s="104"/>
      <c r="E4" s="413"/>
    </row>
    <row r="5" spans="1:6" ht="41.25" customHeight="1">
      <c r="A5" s="410" t="s">
        <v>188</v>
      </c>
      <c r="B5" s="1015" t="s">
        <v>189</v>
      </c>
      <c r="C5" s="1016"/>
      <c r="D5" s="1016"/>
      <c r="E5" s="1017"/>
    </row>
    <row r="6" spans="1:6" ht="18.75" customHeight="1">
      <c r="A6" s="520" t="s">
        <v>190</v>
      </c>
      <c r="B6" s="1007" t="s">
        <v>191</v>
      </c>
      <c r="C6" s="1008"/>
      <c r="D6" s="521" t="s">
        <v>455</v>
      </c>
      <c r="E6" s="522" t="s">
        <v>192</v>
      </c>
    </row>
    <row r="7" spans="1:6" s="265" customFormat="1" ht="18.75" customHeight="1">
      <c r="A7" s="523">
        <v>45352</v>
      </c>
      <c r="B7" s="1009" t="s">
        <v>193</v>
      </c>
      <c r="C7" s="1010"/>
      <c r="D7" s="408" t="s">
        <v>456</v>
      </c>
      <c r="E7" s="582">
        <v>2.6068081309883002</v>
      </c>
      <c r="F7" s="105"/>
    </row>
    <row r="8" spans="1:6" s="265" customFormat="1" ht="18.75" customHeight="1">
      <c r="A8" s="524">
        <v>45352</v>
      </c>
      <c r="B8" s="1011" t="s">
        <v>516</v>
      </c>
      <c r="C8" s="1012"/>
      <c r="D8" s="184" t="s">
        <v>456</v>
      </c>
      <c r="E8" s="583">
        <v>2.4503325412613099</v>
      </c>
    </row>
    <row r="9" spans="1:6" s="265" customFormat="1" hidden="1">
      <c r="A9" s="525">
        <v>45323</v>
      </c>
      <c r="B9" s="1013" t="s">
        <v>264</v>
      </c>
      <c r="C9" s="1014"/>
      <c r="D9" s="409" t="s">
        <v>456</v>
      </c>
      <c r="E9" s="584">
        <v>3.1291108185468501</v>
      </c>
    </row>
    <row r="10" spans="1:6" ht="18.75" customHeight="1">
      <c r="A10" s="1001" t="s">
        <v>194</v>
      </c>
      <c r="B10" s="1002"/>
      <c r="C10" s="1002"/>
      <c r="D10" s="1002"/>
      <c r="E10" s="1003"/>
    </row>
    <row r="11" spans="1:6" s="106" customFormat="1" ht="18.75" customHeight="1">
      <c r="A11" s="1004" t="s">
        <v>524</v>
      </c>
      <c r="B11" s="1005"/>
      <c r="C11" s="1005"/>
      <c r="D11" s="1005"/>
      <c r="E11" s="1006"/>
    </row>
    <row r="12" spans="1:6">
      <c r="A12" s="14"/>
      <c r="B12" s="14"/>
      <c r="C12" s="14"/>
      <c r="D12" s="14"/>
      <c r="E12" s="14"/>
    </row>
    <row r="13" spans="1:6">
      <c r="A13" s="8"/>
      <c r="B13" s="8"/>
      <c r="C13" s="8"/>
      <c r="D13" s="8"/>
      <c r="E13" s="8"/>
    </row>
    <row r="14" spans="1:6">
      <c r="A14" s="8"/>
      <c r="B14" s="8"/>
      <c r="C14" s="8"/>
      <c r="D14" s="8"/>
      <c r="E14" s="8"/>
    </row>
    <row r="15" spans="1:6">
      <c r="A15" s="8"/>
      <c r="B15" s="8"/>
      <c r="C15" s="8"/>
      <c r="D15" s="8"/>
      <c r="E15" s="8"/>
    </row>
    <row r="16" spans="1:6">
      <c r="A16" s="8"/>
      <c r="B16" s="8"/>
      <c r="C16" s="8"/>
      <c r="D16" s="8"/>
      <c r="E16" s="8"/>
    </row>
    <row r="17" spans="1:5">
      <c r="A17" s="8"/>
      <c r="B17" s="8"/>
      <c r="C17" s="8"/>
      <c r="D17" s="8"/>
      <c r="E17" s="8"/>
    </row>
    <row r="18" spans="1:5">
      <c r="A18" s="8"/>
      <c r="B18" s="8"/>
      <c r="C18" s="8"/>
      <c r="D18" s="8"/>
      <c r="E18" s="8"/>
    </row>
    <row r="19" spans="1:5">
      <c r="A19" s="8"/>
      <c r="B19" s="8"/>
      <c r="C19" s="8"/>
      <c r="D19" s="8"/>
      <c r="E19" s="8"/>
    </row>
    <row r="20" spans="1:5">
      <c r="A20" s="8"/>
      <c r="B20" s="8"/>
      <c r="C20" s="8"/>
      <c r="D20" s="8"/>
      <c r="E20" s="8"/>
    </row>
    <row r="21" spans="1:5" s="265" customFormat="1">
      <c r="A21" s="8"/>
      <c r="B21" s="8"/>
      <c r="C21" s="8"/>
      <c r="D21" s="8"/>
      <c r="E21" s="8"/>
    </row>
    <row r="22" spans="1:5" s="265" customFormat="1">
      <c r="A22" s="8"/>
      <c r="B22" s="8"/>
      <c r="C22" s="8"/>
      <c r="D22" s="8"/>
      <c r="E22" s="8"/>
    </row>
    <row r="23" spans="1:5">
      <c r="A23" s="8"/>
      <c r="B23" s="8"/>
      <c r="C23" s="8"/>
      <c r="D23" s="8"/>
      <c r="E23" s="8"/>
    </row>
    <row r="24" spans="1:5">
      <c r="A24" s="8"/>
      <c r="B24" s="8"/>
      <c r="C24" s="8"/>
      <c r="D24" s="8"/>
      <c r="E24" s="8"/>
    </row>
    <row r="25" spans="1:5">
      <c r="A25" s="8"/>
      <c r="B25" s="8"/>
      <c r="C25" s="8"/>
      <c r="D25" s="8"/>
      <c r="E25" s="8"/>
    </row>
    <row r="26" spans="1:5">
      <c r="A26" s="8"/>
      <c r="B26" s="8"/>
      <c r="C26" s="8"/>
      <c r="D26" s="8"/>
      <c r="E26" s="8"/>
    </row>
    <row r="27" spans="1:5">
      <c r="A27" s="8"/>
      <c r="B27" s="8"/>
      <c r="C27" s="8"/>
      <c r="D27" s="8"/>
      <c r="E27" s="8"/>
    </row>
    <row r="28" spans="1:5">
      <c r="A28" s="8"/>
      <c r="B28" s="8"/>
      <c r="C28" s="8"/>
      <c r="D28" s="8"/>
      <c r="E28" s="8"/>
    </row>
    <row r="29" spans="1:5">
      <c r="A29" s="8"/>
      <c r="B29" s="8"/>
      <c r="C29" s="8"/>
      <c r="D29" s="8"/>
      <c r="E29" s="8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  <row r="35" spans="1:5">
      <c r="A35" s="8"/>
      <c r="B35" s="8"/>
      <c r="C35" s="8"/>
      <c r="D35" s="8"/>
      <c r="E35" s="8"/>
    </row>
  </sheetData>
  <mergeCells count="9">
    <mergeCell ref="B1:D1"/>
    <mergeCell ref="A1:A3"/>
    <mergeCell ref="A10:E10"/>
    <mergeCell ref="A11:E11"/>
    <mergeCell ref="B6:C6"/>
    <mergeCell ref="B7:C7"/>
    <mergeCell ref="B8:C8"/>
    <mergeCell ref="B9:C9"/>
    <mergeCell ref="B5:E5"/>
  </mergeCells>
  <hyperlinks>
    <hyperlink ref="A11" r:id="rId1" display="http://www.anp.gov.br/precos-e-defesa-da-concorrencia/precos/precos-de-distribuicao" xr:uid="{00000000-0004-0000-0F00-000000000000}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horizontalDpi="300" verticalDpi="300" r:id="rId2"/>
  <headerFooter>
    <oddFooter>&amp;CEng° Darcio Pagani Vieira
Crea/SC - 077.222-9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1"/>
  <sheetViews>
    <sheetView showGridLines="0" view="pageBreakPreview" zoomScaleNormal="85" zoomScaleSheetLayoutView="100" workbookViewId="0">
      <selection activeCell="D21" sqref="D21"/>
    </sheetView>
  </sheetViews>
  <sheetFormatPr defaultRowHeight="14.4"/>
  <cols>
    <col min="1" max="1" width="14.6640625" customWidth="1"/>
    <col min="2" max="2" width="43.109375" customWidth="1"/>
    <col min="3" max="3" width="19.33203125" customWidth="1"/>
    <col min="4" max="4" width="15" bestFit="1" customWidth="1"/>
    <col min="5" max="5" width="18.44140625" customWidth="1"/>
    <col min="6" max="6" width="16.33203125" bestFit="1" customWidth="1"/>
    <col min="7" max="7" width="11.5546875" customWidth="1"/>
    <col min="8" max="8" width="17.44140625" customWidth="1"/>
    <col min="9" max="9" width="9.109375" bestFit="1" customWidth="1"/>
  </cols>
  <sheetData>
    <row r="1" spans="1:9" ht="41.25" customHeight="1">
      <c r="A1" s="717"/>
      <c r="B1" s="720" t="s">
        <v>23</v>
      </c>
      <c r="C1" s="720"/>
      <c r="D1" s="720"/>
      <c r="E1" s="720"/>
      <c r="F1" s="720"/>
      <c r="G1" s="720"/>
      <c r="H1" s="720"/>
      <c r="I1" s="720"/>
    </row>
    <row r="2" spans="1:9">
      <c r="A2" s="718"/>
      <c r="B2" s="721" t="str">
        <f>PAVIM.!$G$2</f>
        <v>PREFEITURA MUNICIPAL DE MARACAJÁ</v>
      </c>
      <c r="C2" s="721"/>
      <c r="D2" s="721" t="str">
        <f>PAVIM.!$I$2</f>
        <v>BAIRRO: VILA BEATRIZ</v>
      </c>
      <c r="E2" s="721"/>
      <c r="F2" s="722" t="str">
        <f>PAVIM.!$K$2</f>
        <v>MUNICIPIO: MARACAJÁ</v>
      </c>
      <c r="G2" s="722"/>
      <c r="H2" s="721" t="str">
        <f>PAVIM.!$M$2</f>
        <v>ESTADO: SANTA CATARINA</v>
      </c>
      <c r="I2" s="721"/>
    </row>
    <row r="3" spans="1:9">
      <c r="A3" s="719"/>
      <c r="B3" s="725" t="str">
        <f>PAVIM.!G3</f>
        <v>RUA JOSÉ MARQUES, RUA VEREADOR FLÁVIO ROCHA, RUA 156 e RUA CRICIÚMA</v>
      </c>
      <c r="C3" s="726"/>
      <c r="D3" s="726"/>
      <c r="E3" s="726"/>
      <c r="F3" s="726"/>
      <c r="G3" s="727"/>
      <c r="H3" s="723" t="str">
        <f ca="1">PAVIM.!$M$3</f>
        <v>DATA: 15/10/24</v>
      </c>
      <c r="I3" s="724"/>
    </row>
    <row r="4" spans="1:9">
      <c r="A4" s="7"/>
      <c r="B4" s="8"/>
      <c r="C4" s="8"/>
      <c r="D4" s="8"/>
      <c r="E4" s="8"/>
      <c r="F4" s="8"/>
      <c r="G4" s="16"/>
      <c r="H4" s="9"/>
      <c r="I4" s="168"/>
    </row>
    <row r="5" spans="1:9">
      <c r="A5" s="713" t="s">
        <v>1</v>
      </c>
      <c r="B5" s="713" t="s">
        <v>2</v>
      </c>
      <c r="C5" s="713" t="s">
        <v>3</v>
      </c>
      <c r="D5" s="713" t="s">
        <v>4</v>
      </c>
      <c r="E5" s="713" t="s">
        <v>705</v>
      </c>
      <c r="F5" s="713" t="s">
        <v>517</v>
      </c>
      <c r="G5" s="728" t="s">
        <v>24</v>
      </c>
      <c r="H5" s="713" t="s">
        <v>8</v>
      </c>
      <c r="I5" s="713" t="s">
        <v>25</v>
      </c>
    </row>
    <row r="6" spans="1:9" ht="15.75" customHeight="1">
      <c r="A6" s="713"/>
      <c r="B6" s="713"/>
      <c r="C6" s="713"/>
      <c r="D6" s="713"/>
      <c r="E6" s="713"/>
      <c r="F6" s="713"/>
      <c r="G6" s="728"/>
      <c r="H6" s="713"/>
      <c r="I6" s="713"/>
    </row>
    <row r="7" spans="1:9" hidden="1">
      <c r="A7" s="417">
        <f>ORÇAMENTO!A9</f>
        <v>1</v>
      </c>
      <c r="B7" s="418" t="str">
        <f>ORÇAMENTO!B9</f>
        <v>TERRAPLENAGEM</v>
      </c>
      <c r="C7" s="419"/>
      <c r="D7" s="419"/>
      <c r="E7" s="420"/>
      <c r="F7" s="420">
        <f>ORÇAMENTO!J9</f>
        <v>0</v>
      </c>
      <c r="G7" s="420"/>
      <c r="H7" s="421">
        <f>E7+F7</f>
        <v>0</v>
      </c>
      <c r="I7" s="482">
        <f t="shared" ref="I7:I12" si="0">H7/$H$31</f>
        <v>0</v>
      </c>
    </row>
    <row r="8" spans="1:9">
      <c r="A8" s="422">
        <f>ORÇAMENTO!A12</f>
        <v>1</v>
      </c>
      <c r="B8" s="423" t="str">
        <f>ORÇAMENTO!B12</f>
        <v>DRENAGEM</v>
      </c>
      <c r="C8" s="424"/>
      <c r="D8" s="424"/>
      <c r="E8" s="425"/>
      <c r="F8" s="425">
        <f>ORÇAMENTO!J12</f>
        <v>141045.94</v>
      </c>
      <c r="G8" s="425"/>
      <c r="H8" s="426">
        <f>SUM(E8:F8)</f>
        <v>141045.94</v>
      </c>
      <c r="I8" s="483">
        <f t="shared" si="0"/>
        <v>1</v>
      </c>
    </row>
    <row r="9" spans="1:9" hidden="1">
      <c r="A9" s="422">
        <f>ORÇAMENTO!A20</f>
        <v>3</v>
      </c>
      <c r="B9" s="423" t="str">
        <f>ORÇAMENTO!B20</f>
        <v>PAVIMENTAÇÃO</v>
      </c>
      <c r="C9" s="424"/>
      <c r="D9" s="424"/>
      <c r="E9" s="427"/>
      <c r="F9" s="656">
        <f>ORÇAMENTO!J20</f>
        <v>0</v>
      </c>
      <c r="G9" s="427"/>
      <c r="H9" s="654">
        <f>E9+F9</f>
        <v>0</v>
      </c>
      <c r="I9" s="655">
        <f t="shared" si="0"/>
        <v>0</v>
      </c>
    </row>
    <row r="10" spans="1:9" hidden="1">
      <c r="A10" s="422">
        <f>ORÇAMENTO!A30</f>
        <v>4</v>
      </c>
      <c r="B10" s="423" t="str">
        <f>ORÇAMENTO!B30</f>
        <v>FORNECIMENTO DE MATERIAL BETUMINOSO</v>
      </c>
      <c r="C10" s="424"/>
      <c r="D10" s="428"/>
      <c r="E10" s="427"/>
      <c r="F10" s="427">
        <f>ORÇAMENTO!J30</f>
        <v>0</v>
      </c>
      <c r="G10" s="427"/>
      <c r="H10" s="426">
        <f>SUM(E10:F10)</f>
        <v>0</v>
      </c>
      <c r="I10" s="483">
        <f t="shared" si="0"/>
        <v>0</v>
      </c>
    </row>
    <row r="11" spans="1:9" hidden="1">
      <c r="A11" s="422">
        <f>ORÇAMENTO!A35</f>
        <v>5</v>
      </c>
      <c r="B11" s="429" t="str">
        <f>ORÇAMENTO!B35</f>
        <v>CALÇADAS (ACESSIBILIDADE)</v>
      </c>
      <c r="C11" s="424"/>
      <c r="D11" s="428"/>
      <c r="E11" s="427"/>
      <c r="F11" s="427">
        <f>ORÇAMENTO!J35</f>
        <v>0</v>
      </c>
      <c r="G11" s="427"/>
      <c r="H11" s="426">
        <f>SUM(E11:F11)</f>
        <v>0</v>
      </c>
      <c r="I11" s="483">
        <f t="shared" si="0"/>
        <v>0</v>
      </c>
    </row>
    <row r="12" spans="1:9" s="265" customFormat="1" hidden="1">
      <c r="A12" s="422">
        <f>ORÇAMENTO!A42</f>
        <v>6</v>
      </c>
      <c r="B12" s="429" t="str">
        <f>ORÇAMENTO!B42</f>
        <v>SINALIZAÇÃO HORIZONTAL E VERTICAL</v>
      </c>
      <c r="C12" s="424"/>
      <c r="D12" s="428"/>
      <c r="E12" s="427"/>
      <c r="F12" s="427">
        <f>ORÇAMENTO!J42</f>
        <v>0</v>
      </c>
      <c r="G12" s="427"/>
      <c r="H12" s="426">
        <f>SUM(E12:F12)</f>
        <v>0</v>
      </c>
      <c r="I12" s="483">
        <f t="shared" si="0"/>
        <v>0</v>
      </c>
    </row>
    <row r="13" spans="1:9">
      <c r="A13" s="422"/>
      <c r="B13" s="433"/>
      <c r="C13" s="424"/>
      <c r="D13" s="428"/>
      <c r="E13" s="427"/>
      <c r="F13" s="430"/>
      <c r="G13" s="427"/>
      <c r="H13" s="431"/>
      <c r="I13" s="434"/>
    </row>
    <row r="14" spans="1:9">
      <c r="A14" s="422"/>
      <c r="B14" s="433"/>
      <c r="C14" s="424"/>
      <c r="D14" s="428"/>
      <c r="E14" s="427"/>
      <c r="F14" s="430"/>
      <c r="G14" s="427"/>
      <c r="H14" s="431"/>
      <c r="I14" s="434"/>
    </row>
    <row r="15" spans="1:9">
      <c r="A15" s="422"/>
      <c r="B15" s="433"/>
      <c r="C15" s="424"/>
      <c r="D15" s="428"/>
      <c r="E15" s="427"/>
      <c r="F15" s="430"/>
      <c r="G15" s="427"/>
      <c r="H15" s="431"/>
      <c r="I15" s="434"/>
    </row>
    <row r="16" spans="1:9">
      <c r="A16" s="422"/>
      <c r="B16" s="433"/>
      <c r="C16" s="424"/>
      <c r="D16" s="428"/>
      <c r="E16" s="427"/>
      <c r="F16" s="430"/>
      <c r="G16" s="427"/>
      <c r="H16" s="431"/>
      <c r="I16" s="434"/>
    </row>
    <row r="17" spans="1:9">
      <c r="A17" s="422"/>
      <c r="B17" s="433"/>
      <c r="C17" s="424"/>
      <c r="D17" s="428"/>
      <c r="E17" s="427"/>
      <c r="F17" s="430"/>
      <c r="G17" s="427"/>
      <c r="H17" s="431"/>
      <c r="I17" s="434"/>
    </row>
    <row r="18" spans="1:9">
      <c r="A18" s="422"/>
      <c r="B18" s="433"/>
      <c r="C18" s="424"/>
      <c r="D18" s="428"/>
      <c r="E18" s="427"/>
      <c r="F18" s="430"/>
      <c r="G18" s="427"/>
      <c r="H18" s="431"/>
      <c r="I18" s="434"/>
    </row>
    <row r="19" spans="1:9">
      <c r="A19" s="422"/>
      <c r="B19" s="433"/>
      <c r="C19" s="424"/>
      <c r="D19" s="428"/>
      <c r="E19" s="427"/>
      <c r="F19" s="430"/>
      <c r="G19" s="427"/>
      <c r="H19" s="431"/>
      <c r="I19" s="434"/>
    </row>
    <row r="20" spans="1:9">
      <c r="A20" s="422"/>
      <c r="B20" s="433"/>
      <c r="C20" s="424"/>
      <c r="D20" s="428"/>
      <c r="E20" s="427"/>
      <c r="F20" s="430"/>
      <c r="G20" s="427"/>
      <c r="H20" s="431"/>
      <c r="I20" s="434"/>
    </row>
    <row r="21" spans="1:9">
      <c r="A21" s="422"/>
      <c r="B21" s="433"/>
      <c r="C21" s="424"/>
      <c r="D21" s="424"/>
      <c r="E21" s="424"/>
      <c r="F21" s="424"/>
      <c r="G21" s="425"/>
      <c r="H21" s="431"/>
      <c r="I21" s="432"/>
    </row>
    <row r="22" spans="1:9">
      <c r="A22" s="422"/>
      <c r="B22" s="433"/>
      <c r="C22" s="424"/>
      <c r="D22" s="428"/>
      <c r="E22" s="427"/>
      <c r="F22" s="430"/>
      <c r="G22" s="427"/>
      <c r="H22" s="431"/>
      <c r="I22" s="435"/>
    </row>
    <row r="23" spans="1:9">
      <c r="A23" s="422"/>
      <c r="B23" s="433"/>
      <c r="C23" s="424"/>
      <c r="D23" s="428"/>
      <c r="E23" s="427"/>
      <c r="F23" s="430"/>
      <c r="G23" s="427"/>
      <c r="H23" s="431"/>
      <c r="I23" s="434"/>
    </row>
    <row r="24" spans="1:9">
      <c r="A24" s="422"/>
      <c r="B24" s="424"/>
      <c r="C24" s="424"/>
      <c r="D24" s="428"/>
      <c r="E24" s="427"/>
      <c r="F24" s="430"/>
      <c r="G24" s="427"/>
      <c r="H24" s="436"/>
      <c r="I24" s="435"/>
    </row>
    <row r="25" spans="1:9">
      <c r="A25" s="422"/>
      <c r="B25" s="433"/>
      <c r="C25" s="424"/>
      <c r="D25" s="428"/>
      <c r="E25" s="427"/>
      <c r="F25" s="430"/>
      <c r="G25" s="427"/>
      <c r="H25" s="431"/>
      <c r="I25" s="435"/>
    </row>
    <row r="26" spans="1:9">
      <c r="A26" s="422"/>
      <c r="B26" s="433"/>
      <c r="C26" s="424"/>
      <c r="D26" s="428"/>
      <c r="E26" s="427"/>
      <c r="F26" s="430"/>
      <c r="G26" s="427"/>
      <c r="H26" s="431"/>
      <c r="I26" s="435"/>
    </row>
    <row r="27" spans="1:9">
      <c r="A27" s="422"/>
      <c r="B27" s="433"/>
      <c r="C27" s="424"/>
      <c r="D27" s="428"/>
      <c r="E27" s="427"/>
      <c r="F27" s="430"/>
      <c r="G27" s="427"/>
      <c r="H27" s="431"/>
      <c r="I27" s="434"/>
    </row>
    <row r="28" spans="1:9">
      <c r="A28" s="422"/>
      <c r="B28" s="433"/>
      <c r="C28" s="424"/>
      <c r="D28" s="424"/>
      <c r="E28" s="424"/>
      <c r="F28" s="424"/>
      <c r="G28" s="425"/>
      <c r="H28" s="431"/>
      <c r="I28" s="432"/>
    </row>
    <row r="29" spans="1:9">
      <c r="A29" s="422"/>
      <c r="B29" s="433"/>
      <c r="C29" s="424"/>
      <c r="D29" s="428"/>
      <c r="E29" s="427"/>
      <c r="F29" s="430"/>
      <c r="G29" s="427"/>
      <c r="H29" s="431"/>
      <c r="I29" s="437"/>
    </row>
    <row r="30" spans="1:9">
      <c r="A30" s="422"/>
      <c r="B30" s="433"/>
      <c r="C30" s="424"/>
      <c r="D30" s="428"/>
      <c r="E30" s="427"/>
      <c r="F30" s="430"/>
      <c r="G30" s="427"/>
      <c r="H30" s="436"/>
      <c r="I30" s="438"/>
    </row>
    <row r="31" spans="1:9">
      <c r="A31" s="439"/>
      <c r="B31" s="440"/>
      <c r="C31" s="441"/>
      <c r="D31" s="442"/>
      <c r="E31" s="484">
        <f>SUM(E7:E30)</f>
        <v>0</v>
      </c>
      <c r="F31" s="653">
        <f>SUM(F7:F30)</f>
        <v>141045.94</v>
      </c>
      <c r="G31" s="443"/>
      <c r="H31" s="653">
        <f>SUM(H7:H30)</f>
        <v>141045.94</v>
      </c>
      <c r="I31" s="485">
        <f>SUM(I7:I30)</f>
        <v>1</v>
      </c>
    </row>
    <row r="32" spans="1:9">
      <c r="A32" s="359"/>
      <c r="B32" s="14"/>
      <c r="C32" s="14"/>
      <c r="D32" s="14"/>
      <c r="E32" s="14"/>
      <c r="F32" s="14"/>
      <c r="G32" s="14"/>
      <c r="H32" s="359"/>
      <c r="I32" s="359"/>
    </row>
    <row r="33" spans="1:9">
      <c r="A33" s="8"/>
      <c r="B33" s="8"/>
      <c r="C33" s="8"/>
      <c r="D33" s="8"/>
      <c r="E33" s="8"/>
      <c r="F33" s="8"/>
      <c r="G33" s="8"/>
      <c r="H33" s="9"/>
      <c r="I33" s="9"/>
    </row>
    <row r="34" spans="1:9">
      <c r="A34" s="8"/>
      <c r="B34" s="8"/>
      <c r="C34" s="8"/>
      <c r="D34" s="8"/>
      <c r="E34" s="8"/>
      <c r="F34" s="8"/>
      <c r="G34" s="8"/>
      <c r="H34" s="9"/>
      <c r="I34" s="9"/>
    </row>
    <row r="35" spans="1:9">
      <c r="A35" s="8"/>
      <c r="B35" s="8"/>
      <c r="C35" s="8"/>
      <c r="D35" s="8"/>
      <c r="E35" s="8"/>
      <c r="F35" s="8"/>
      <c r="G35" s="8"/>
      <c r="H35" s="9"/>
      <c r="I35" s="9"/>
    </row>
    <row r="36" spans="1:9">
      <c r="A36" s="8"/>
      <c r="B36" s="8"/>
      <c r="C36" s="8"/>
      <c r="D36" s="8"/>
      <c r="E36" s="8"/>
      <c r="F36" s="8"/>
      <c r="G36" s="8"/>
      <c r="H36" s="9"/>
      <c r="I36" s="9"/>
    </row>
    <row r="37" spans="1:9">
      <c r="A37" s="8"/>
      <c r="B37" s="8"/>
      <c r="C37" s="8"/>
      <c r="D37" s="8"/>
      <c r="E37" s="8"/>
      <c r="F37" s="8"/>
      <c r="G37" s="8"/>
      <c r="H37" s="9"/>
      <c r="I37" s="9"/>
    </row>
    <row r="38" spans="1:9">
      <c r="A38" s="8"/>
      <c r="B38" s="15"/>
      <c r="C38" s="8"/>
      <c r="D38" s="8"/>
      <c r="E38" s="8"/>
      <c r="F38" s="8"/>
      <c r="G38" s="8"/>
      <c r="H38" s="9"/>
      <c r="I38" s="9"/>
    </row>
    <row r="39" spans="1:9">
      <c r="A39" s="8"/>
      <c r="B39" s="8"/>
      <c r="C39" s="8"/>
      <c r="D39" s="8"/>
      <c r="E39" s="8"/>
      <c r="F39" s="8"/>
      <c r="G39" s="8"/>
      <c r="H39" s="9"/>
      <c r="I39" s="9"/>
    </row>
    <row r="50" spans="1:9">
      <c r="A50" s="265"/>
      <c r="B50" s="265"/>
      <c r="C50" s="265"/>
      <c r="D50" s="265"/>
      <c r="E50" s="265"/>
      <c r="F50" s="265"/>
      <c r="G50" s="265"/>
      <c r="H50" s="265"/>
      <c r="I50" s="265"/>
    </row>
    <row r="51" spans="1:9" s="265" customFormat="1">
      <c r="A51"/>
      <c r="B51"/>
      <c r="C51"/>
      <c r="D51"/>
      <c r="E51"/>
      <c r="F51"/>
      <c r="G51"/>
      <c r="H51"/>
      <c r="I51"/>
    </row>
  </sheetData>
  <mergeCells count="17">
    <mergeCell ref="G5:G6"/>
    <mergeCell ref="F5:F6"/>
    <mergeCell ref="A1:A3"/>
    <mergeCell ref="A5:A6"/>
    <mergeCell ref="B5:B6"/>
    <mergeCell ref="C5:C6"/>
    <mergeCell ref="D5:D6"/>
    <mergeCell ref="B1:I1"/>
    <mergeCell ref="B2:C2"/>
    <mergeCell ref="D2:E2"/>
    <mergeCell ref="F2:G2"/>
    <mergeCell ref="H2:I2"/>
    <mergeCell ref="H3:I3"/>
    <mergeCell ref="B3:G3"/>
    <mergeCell ref="H5:H6"/>
    <mergeCell ref="I5:I6"/>
    <mergeCell ref="E5:E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Footer>&amp;CEng° Darcio Pagani Vieira
Crea/SC - 077.222-9</oddFooter>
  </headerFooter>
  <ignoredErrors>
    <ignoredError sqref="H7:H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showGridLines="0" view="pageBreakPreview" zoomScale="85" zoomScaleNormal="85" zoomScaleSheetLayoutView="85" workbookViewId="0">
      <selection activeCell="D21" sqref="D21"/>
    </sheetView>
  </sheetViews>
  <sheetFormatPr defaultColWidth="9.109375" defaultRowHeight="14.4"/>
  <cols>
    <col min="1" max="1" width="14.88671875" style="265" customWidth="1"/>
    <col min="2" max="2" width="9.6640625" style="265" bestFit="1" customWidth="1"/>
    <col min="3" max="3" width="8.88671875" style="265" bestFit="1" customWidth="1"/>
    <col min="4" max="4" width="9.6640625" style="265" bestFit="1" customWidth="1"/>
    <col min="5" max="5" width="8.88671875" style="265" bestFit="1" customWidth="1"/>
    <col min="6" max="6" width="9.6640625" style="265" bestFit="1" customWidth="1"/>
    <col min="7" max="7" width="8.88671875" style="265" bestFit="1" customWidth="1"/>
    <col min="8" max="8" width="9.6640625" style="265" bestFit="1" customWidth="1"/>
    <col min="9" max="9" width="8.88671875" style="265" bestFit="1" customWidth="1"/>
    <col min="10" max="10" width="9.6640625" style="265" customWidth="1"/>
    <col min="11" max="11" width="8.88671875" style="265" bestFit="1" customWidth="1"/>
    <col min="12" max="12" width="9.6640625" style="265" bestFit="1" customWidth="1"/>
    <col min="13" max="13" width="8.88671875" style="265" bestFit="1" customWidth="1"/>
    <col min="14" max="14" width="9.6640625" style="265" bestFit="1" customWidth="1"/>
    <col min="15" max="15" width="8.88671875" style="265" bestFit="1" customWidth="1"/>
    <col min="16" max="16" width="9.6640625" style="265" bestFit="1" customWidth="1"/>
    <col min="17" max="17" width="8.88671875" style="265" bestFit="1" customWidth="1"/>
    <col min="18" max="18" width="9.6640625" style="265" bestFit="1" customWidth="1"/>
    <col min="19" max="19" width="8.88671875" style="265" bestFit="1" customWidth="1"/>
    <col min="20" max="20" width="9.6640625" style="265" customWidth="1"/>
    <col min="21" max="21" width="8.88671875" style="265" bestFit="1" customWidth="1"/>
    <col min="22" max="22" width="9.6640625" style="265" bestFit="1" customWidth="1"/>
    <col min="23" max="23" width="8.88671875" style="265" bestFit="1" customWidth="1"/>
    <col min="24" max="24" width="9.6640625" style="265" bestFit="1" customWidth="1"/>
    <col min="25" max="25" width="8.88671875" style="265" bestFit="1" customWidth="1"/>
    <col min="26" max="16384" width="9.109375" style="265"/>
  </cols>
  <sheetData>
    <row r="1" spans="1:25" ht="41.25" customHeight="1">
      <c r="A1" s="720"/>
      <c r="B1" s="749" t="s">
        <v>526</v>
      </c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1"/>
    </row>
    <row r="2" spans="1:25">
      <c r="A2" s="720"/>
      <c r="B2" s="721" t="str">
        <f>PAVIM.!$G$2</f>
        <v>PREFEITURA MUNICIPAL DE MARACAJÁ</v>
      </c>
      <c r="C2" s="721"/>
      <c r="D2" s="721"/>
      <c r="E2" s="721"/>
      <c r="F2" s="721"/>
      <c r="G2" s="721"/>
      <c r="H2" s="721"/>
      <c r="I2" s="721"/>
      <c r="J2" s="721"/>
      <c r="K2" s="721"/>
      <c r="L2" s="721"/>
      <c r="M2" s="721"/>
      <c r="N2" s="721" t="str">
        <f>PAVIM.!$I$2</f>
        <v>BAIRRO: VILA BEATRIZ</v>
      </c>
      <c r="O2" s="721"/>
      <c r="P2" s="721"/>
      <c r="Q2" s="721"/>
      <c r="R2" s="729" t="str">
        <f>PAVIM.!$K$2</f>
        <v>MUNICIPIO: MARACAJÁ</v>
      </c>
      <c r="S2" s="730"/>
      <c r="T2" s="730"/>
      <c r="U2" s="731"/>
      <c r="V2" s="721" t="str">
        <f>PAVIM.!$M$2</f>
        <v>ESTADO: SANTA CATARINA</v>
      </c>
      <c r="W2" s="721"/>
      <c r="X2" s="721"/>
      <c r="Y2" s="721"/>
    </row>
    <row r="3" spans="1:25">
      <c r="A3" s="720"/>
      <c r="B3" s="721" t="str">
        <f>PAVIM.!G3</f>
        <v>RUA JOSÉ MARQUES, RUA VEREADOR FLÁVIO ROCHA, RUA 156 e RUA CRICIÚMA</v>
      </c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  <c r="V3" s="746" t="str">
        <f ca="1">PAVIM.!$M$3</f>
        <v>DATA: 15/10/24</v>
      </c>
      <c r="W3" s="746"/>
      <c r="X3" s="746"/>
      <c r="Y3" s="746"/>
    </row>
    <row r="4" spans="1:25" ht="15" customHeight="1">
      <c r="A4" s="10"/>
      <c r="B4" s="11"/>
      <c r="C4" s="11"/>
      <c r="D4" s="11"/>
      <c r="E4" s="11"/>
      <c r="F4" s="11"/>
      <c r="G4" s="12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25"/>
    </row>
    <row r="5" spans="1:25" ht="15.75" customHeight="1">
      <c r="A5" s="747" t="s">
        <v>29</v>
      </c>
      <c r="B5" s="743" t="s">
        <v>26</v>
      </c>
      <c r="C5" s="743"/>
      <c r="D5" s="744" t="s">
        <v>30</v>
      </c>
      <c r="E5" s="745"/>
      <c r="F5" s="744" t="s">
        <v>31</v>
      </c>
      <c r="G5" s="745"/>
      <c r="H5" s="743" t="s">
        <v>32</v>
      </c>
      <c r="I5" s="743"/>
      <c r="J5" s="744" t="s">
        <v>33</v>
      </c>
      <c r="K5" s="745"/>
      <c r="L5" s="744" t="s">
        <v>34</v>
      </c>
      <c r="M5" s="745"/>
      <c r="N5" s="743" t="s">
        <v>35</v>
      </c>
      <c r="O5" s="743"/>
      <c r="P5" s="744" t="s">
        <v>36</v>
      </c>
      <c r="Q5" s="745"/>
      <c r="R5" s="744" t="s">
        <v>37</v>
      </c>
      <c r="S5" s="745"/>
      <c r="T5" s="743" t="s">
        <v>38</v>
      </c>
      <c r="U5" s="743"/>
      <c r="V5" s="744" t="s">
        <v>39</v>
      </c>
      <c r="W5" s="745"/>
      <c r="X5" s="744" t="s">
        <v>40</v>
      </c>
      <c r="Y5" s="745"/>
    </row>
    <row r="6" spans="1:25">
      <c r="A6" s="748"/>
      <c r="B6" s="486" t="s">
        <v>27</v>
      </c>
      <c r="C6" s="486" t="s">
        <v>28</v>
      </c>
      <c r="D6" s="486" t="s">
        <v>27</v>
      </c>
      <c r="E6" s="486" t="s">
        <v>28</v>
      </c>
      <c r="F6" s="486" t="s">
        <v>27</v>
      </c>
      <c r="G6" s="486" t="s">
        <v>28</v>
      </c>
      <c r="H6" s="486" t="s">
        <v>27</v>
      </c>
      <c r="I6" s="486" t="s">
        <v>28</v>
      </c>
      <c r="J6" s="486" t="s">
        <v>27</v>
      </c>
      <c r="K6" s="486" t="s">
        <v>28</v>
      </c>
      <c r="L6" s="486" t="s">
        <v>27</v>
      </c>
      <c r="M6" s="486" t="s">
        <v>28</v>
      </c>
      <c r="N6" s="486" t="s">
        <v>27</v>
      </c>
      <c r="O6" s="486" t="s">
        <v>28</v>
      </c>
      <c r="P6" s="486" t="s">
        <v>27</v>
      </c>
      <c r="Q6" s="486" t="s">
        <v>28</v>
      </c>
      <c r="R6" s="486" t="s">
        <v>27</v>
      </c>
      <c r="S6" s="486" t="s">
        <v>28</v>
      </c>
      <c r="T6" s="486" t="s">
        <v>27</v>
      </c>
      <c r="U6" s="486" t="s">
        <v>28</v>
      </c>
      <c r="V6" s="486" t="s">
        <v>27</v>
      </c>
      <c r="W6" s="486" t="s">
        <v>28</v>
      </c>
      <c r="X6" s="486" t="s">
        <v>27</v>
      </c>
      <c r="Y6" s="486" t="s">
        <v>28</v>
      </c>
    </row>
    <row r="7" spans="1:25" hidden="1">
      <c r="A7" s="20">
        <f>IF(QCI!A7="","",QCI!A7)</f>
        <v>1</v>
      </c>
      <c r="B7" s="487">
        <v>0</v>
      </c>
      <c r="C7" s="488">
        <f>B7</f>
        <v>0</v>
      </c>
      <c r="D7" s="487">
        <v>0</v>
      </c>
      <c r="E7" s="488">
        <f>B7+D7</f>
        <v>0</v>
      </c>
      <c r="F7" s="487">
        <v>0</v>
      </c>
      <c r="G7" s="488">
        <f>F7+D7+B7</f>
        <v>0</v>
      </c>
      <c r="H7" s="487"/>
      <c r="I7" s="488"/>
      <c r="J7" s="487"/>
      <c r="K7" s="488"/>
      <c r="L7" s="487"/>
      <c r="M7" s="488"/>
      <c r="N7" s="90"/>
      <c r="O7" s="19"/>
      <c r="P7" s="90"/>
      <c r="Q7" s="19"/>
      <c r="R7" s="90"/>
      <c r="S7" s="19"/>
      <c r="T7" s="90"/>
      <c r="U7" s="19"/>
      <c r="V7" s="90"/>
      <c r="W7" s="19"/>
      <c r="X7" s="90"/>
      <c r="Y7" s="19"/>
    </row>
    <row r="8" spans="1:25">
      <c r="A8" s="20">
        <f>IF(QCI!A8="","",QCI!A8)</f>
        <v>1</v>
      </c>
      <c r="B8" s="487">
        <v>0.35</v>
      </c>
      <c r="C8" s="488">
        <f>B8</f>
        <v>0.35</v>
      </c>
      <c r="D8" s="487">
        <v>0.35</v>
      </c>
      <c r="E8" s="488">
        <f>B8+D8</f>
        <v>0.7</v>
      </c>
      <c r="F8" s="487">
        <v>0.3</v>
      </c>
      <c r="G8" s="488">
        <f>F8+D8+B8</f>
        <v>0.99999999999999989</v>
      </c>
      <c r="H8" s="487"/>
      <c r="I8" s="488"/>
      <c r="J8" s="487"/>
      <c r="K8" s="488"/>
      <c r="L8" s="487"/>
      <c r="M8" s="488"/>
      <c r="N8" s="90"/>
      <c r="O8" s="21"/>
      <c r="P8" s="90"/>
      <c r="Q8" s="21"/>
      <c r="R8" s="90"/>
      <c r="S8" s="21"/>
      <c r="T8" s="90"/>
      <c r="U8" s="21"/>
      <c r="V8" s="90"/>
      <c r="W8" s="21"/>
      <c r="X8" s="90"/>
      <c r="Y8" s="21"/>
    </row>
    <row r="9" spans="1:25" ht="15" hidden="1" customHeight="1">
      <c r="A9" s="20">
        <f>IF(QCI!A9="","",QCI!A9)</f>
        <v>3</v>
      </c>
      <c r="B9" s="487">
        <v>0</v>
      </c>
      <c r="C9" s="488">
        <f>B9</f>
        <v>0</v>
      </c>
      <c r="D9" s="487">
        <v>0</v>
      </c>
      <c r="E9" s="488">
        <f>B9+D9</f>
        <v>0</v>
      </c>
      <c r="F9" s="487">
        <v>0</v>
      </c>
      <c r="G9" s="488">
        <f>F9+D9+B9</f>
        <v>0</v>
      </c>
      <c r="H9" s="487"/>
      <c r="I9" s="488"/>
      <c r="J9" s="487"/>
      <c r="K9" s="488"/>
      <c r="L9" s="487"/>
      <c r="M9" s="488"/>
      <c r="N9" s="90"/>
      <c r="O9" s="21"/>
      <c r="P9" s="90"/>
      <c r="Q9" s="21"/>
      <c r="R9" s="90"/>
      <c r="S9" s="21"/>
      <c r="T9" s="90"/>
      <c r="U9" s="21"/>
      <c r="V9" s="90"/>
      <c r="W9" s="21"/>
      <c r="X9" s="90"/>
      <c r="Y9" s="21"/>
    </row>
    <row r="10" spans="1:25" ht="15" hidden="1" customHeight="1">
      <c r="A10" s="20">
        <f>IF(QCI!A10="","",QCI!A10)</f>
        <v>4</v>
      </c>
      <c r="B10" s="487">
        <v>0</v>
      </c>
      <c r="C10" s="488">
        <f>B10</f>
        <v>0</v>
      </c>
      <c r="D10" s="487">
        <v>0</v>
      </c>
      <c r="E10" s="488">
        <f>B10+D10</f>
        <v>0</v>
      </c>
      <c r="F10" s="487">
        <v>0</v>
      </c>
      <c r="G10" s="488">
        <f>F10+D10+B10</f>
        <v>0</v>
      </c>
      <c r="H10" s="487"/>
      <c r="I10" s="488"/>
      <c r="J10" s="487"/>
      <c r="K10" s="488"/>
      <c r="L10" s="487"/>
      <c r="M10" s="488"/>
      <c r="N10" s="90"/>
      <c r="O10" s="21"/>
      <c r="P10" s="90"/>
      <c r="Q10" s="21"/>
      <c r="R10" s="90"/>
      <c r="S10" s="21"/>
      <c r="T10" s="90"/>
      <c r="U10" s="21"/>
      <c r="V10" s="90"/>
      <c r="W10" s="21"/>
      <c r="X10" s="90"/>
      <c r="Y10" s="21"/>
    </row>
    <row r="11" spans="1:25" ht="15" hidden="1" customHeight="1">
      <c r="A11" s="20">
        <f>IF(QCI!A11="","",QCI!A11)</f>
        <v>5</v>
      </c>
      <c r="B11" s="88">
        <v>0</v>
      </c>
      <c r="C11" s="89">
        <f t="shared" ref="C11" si="0">B11</f>
        <v>0</v>
      </c>
      <c r="D11" s="487">
        <v>0</v>
      </c>
      <c r="E11" s="89">
        <f t="shared" ref="E11" si="1">B11+D11</f>
        <v>0</v>
      </c>
      <c r="F11" s="487">
        <v>0</v>
      </c>
      <c r="G11" s="89">
        <f t="shared" ref="G11" si="2">F11+D11+B11</f>
        <v>0</v>
      </c>
      <c r="H11" s="487"/>
      <c r="I11" s="488"/>
      <c r="J11" s="487"/>
      <c r="K11" s="488"/>
      <c r="L11" s="88"/>
      <c r="M11" s="89"/>
      <c r="N11" s="90"/>
      <c r="O11" s="19"/>
      <c r="P11" s="90"/>
      <c r="Q11" s="19"/>
      <c r="R11" s="90"/>
      <c r="S11" s="19"/>
      <c r="T11" s="90"/>
      <c r="U11" s="19"/>
      <c r="V11" s="90"/>
      <c r="W11" s="19"/>
      <c r="X11" s="90"/>
      <c r="Y11" s="19"/>
    </row>
    <row r="12" spans="1:25" ht="15" hidden="1" customHeight="1">
      <c r="A12" s="20">
        <f>IF(QCI!A12="","",QCI!A12)</f>
        <v>6</v>
      </c>
      <c r="B12" s="88">
        <v>0</v>
      </c>
      <c r="C12" s="89">
        <f t="shared" ref="C12" si="3">B12</f>
        <v>0</v>
      </c>
      <c r="D12" s="487">
        <v>0</v>
      </c>
      <c r="E12" s="89">
        <f t="shared" ref="E12" si="4">B12+D12</f>
        <v>0</v>
      </c>
      <c r="F12" s="487">
        <v>0</v>
      </c>
      <c r="G12" s="89">
        <f t="shared" ref="G12" si="5">F12+D12+B12</f>
        <v>0</v>
      </c>
      <c r="H12" s="487"/>
      <c r="I12" s="488"/>
      <c r="J12" s="487"/>
      <c r="K12" s="488"/>
      <c r="L12" s="88"/>
      <c r="M12" s="89"/>
      <c r="N12" s="90"/>
      <c r="O12" s="21"/>
      <c r="P12" s="90"/>
      <c r="Q12" s="21"/>
      <c r="R12" s="90"/>
      <c r="S12" s="21"/>
      <c r="T12" s="90"/>
      <c r="U12" s="21"/>
      <c r="V12" s="90"/>
      <c r="W12" s="21"/>
      <c r="X12" s="90"/>
      <c r="Y12" s="21"/>
    </row>
    <row r="13" spans="1:25">
      <c r="A13" s="20" t="str">
        <f>IF(QCI!A13="","",QCI!A13)</f>
        <v/>
      </c>
      <c r="B13" s="90"/>
      <c r="C13" s="21"/>
      <c r="D13" s="90"/>
      <c r="E13" s="21"/>
      <c r="F13" s="90"/>
      <c r="G13" s="21"/>
      <c r="H13" s="90"/>
      <c r="I13" s="21"/>
      <c r="J13" s="90"/>
      <c r="K13" s="21"/>
      <c r="L13" s="90"/>
      <c r="M13" s="21"/>
      <c r="N13" s="90"/>
      <c r="O13" s="21"/>
      <c r="P13" s="90"/>
      <c r="Q13" s="21"/>
      <c r="R13" s="90"/>
      <c r="S13" s="21"/>
      <c r="T13" s="90"/>
      <c r="U13" s="21"/>
      <c r="V13" s="90"/>
      <c r="W13" s="21"/>
      <c r="X13" s="90"/>
      <c r="Y13" s="21"/>
    </row>
    <row r="14" spans="1:25">
      <c r="A14" s="20" t="str">
        <f>IF(QCI!A14="","",QCI!A14)</f>
        <v/>
      </c>
      <c r="B14" s="90"/>
      <c r="C14" s="21"/>
      <c r="D14" s="90"/>
      <c r="E14" s="21"/>
      <c r="F14" s="90"/>
      <c r="G14" s="21"/>
      <c r="H14" s="90"/>
      <c r="I14" s="21"/>
      <c r="J14" s="90"/>
      <c r="K14" s="21"/>
      <c r="L14" s="90"/>
      <c r="M14" s="21"/>
      <c r="N14" s="90"/>
      <c r="O14" s="21"/>
      <c r="P14" s="90"/>
      <c r="Q14" s="21"/>
      <c r="R14" s="90"/>
      <c r="S14" s="21"/>
      <c r="T14" s="90"/>
      <c r="U14" s="21"/>
      <c r="V14" s="90"/>
      <c r="W14" s="21"/>
      <c r="X14" s="90"/>
      <c r="Y14" s="21"/>
    </row>
    <row r="15" spans="1:25">
      <c r="A15" s="20" t="str">
        <f>IF(QCI!A15="","",QCI!A15)</f>
        <v/>
      </c>
      <c r="B15" s="90"/>
      <c r="C15" s="21"/>
      <c r="D15" s="90"/>
      <c r="E15" s="21"/>
      <c r="F15" s="90"/>
      <c r="G15" s="21"/>
      <c r="H15" s="90"/>
      <c r="I15" s="21"/>
      <c r="J15" s="90"/>
      <c r="K15" s="21"/>
      <c r="L15" s="90"/>
      <c r="M15" s="21"/>
      <c r="N15" s="90"/>
      <c r="O15" s="21"/>
      <c r="P15" s="90"/>
      <c r="Q15" s="21"/>
      <c r="R15" s="90"/>
      <c r="S15" s="21"/>
      <c r="T15" s="90"/>
      <c r="U15" s="21"/>
      <c r="V15" s="90"/>
      <c r="W15" s="21"/>
      <c r="X15" s="90"/>
      <c r="Y15" s="21"/>
    </row>
    <row r="16" spans="1:25">
      <c r="A16" s="20" t="str">
        <f>IF(QCI!A16="","",QCI!A16)</f>
        <v/>
      </c>
      <c r="B16" s="90"/>
      <c r="C16" s="21"/>
      <c r="D16" s="90"/>
      <c r="E16" s="21"/>
      <c r="F16" s="90"/>
      <c r="G16" s="21"/>
      <c r="H16" s="90"/>
      <c r="I16" s="21"/>
      <c r="J16" s="90"/>
      <c r="K16" s="21"/>
      <c r="L16" s="90"/>
      <c r="M16" s="21"/>
      <c r="N16" s="90"/>
      <c r="O16" s="21"/>
      <c r="P16" s="90"/>
      <c r="Q16" s="21"/>
      <c r="R16" s="90"/>
      <c r="S16" s="21"/>
      <c r="T16" s="90"/>
      <c r="U16" s="21"/>
      <c r="V16" s="90"/>
      <c r="W16" s="21"/>
      <c r="X16" s="90"/>
      <c r="Y16" s="21"/>
    </row>
    <row r="17" spans="1:25">
      <c r="A17" s="20" t="str">
        <f>IF(QCI!A17="","",QCI!A17)</f>
        <v/>
      </c>
      <c r="B17" s="90"/>
      <c r="C17" s="19"/>
      <c r="D17" s="90"/>
      <c r="E17" s="19"/>
      <c r="F17" s="90"/>
      <c r="G17" s="19"/>
      <c r="H17" s="90"/>
      <c r="I17" s="19"/>
      <c r="J17" s="90"/>
      <c r="K17" s="19"/>
      <c r="L17" s="90"/>
      <c r="M17" s="19"/>
      <c r="N17" s="90"/>
      <c r="O17" s="19"/>
      <c r="P17" s="90"/>
      <c r="Q17" s="19"/>
      <c r="R17" s="90"/>
      <c r="S17" s="19"/>
      <c r="T17" s="90"/>
      <c r="U17" s="19"/>
      <c r="V17" s="90"/>
      <c r="W17" s="19"/>
      <c r="X17" s="90"/>
      <c r="Y17" s="19"/>
    </row>
    <row r="18" spans="1:25">
      <c r="A18" s="20" t="str">
        <f>IF(QCI!A18="","",QCI!A18)</f>
        <v/>
      </c>
      <c r="B18" s="90"/>
      <c r="C18" s="21"/>
      <c r="D18" s="90"/>
      <c r="E18" s="21"/>
      <c r="F18" s="90"/>
      <c r="G18" s="21"/>
      <c r="H18" s="90"/>
      <c r="I18" s="21"/>
      <c r="J18" s="90"/>
      <c r="K18" s="21"/>
      <c r="L18" s="90"/>
      <c r="M18" s="21"/>
      <c r="N18" s="90"/>
      <c r="O18" s="21"/>
      <c r="P18" s="90"/>
      <c r="Q18" s="21"/>
      <c r="R18" s="90"/>
      <c r="S18" s="21"/>
      <c r="T18" s="90"/>
      <c r="U18" s="21"/>
      <c r="V18" s="90"/>
      <c r="W18" s="21"/>
      <c r="X18" s="90"/>
      <c r="Y18" s="21"/>
    </row>
    <row r="19" spans="1:25">
      <c r="A19" s="20"/>
      <c r="B19" s="90"/>
      <c r="C19" s="21"/>
      <c r="D19" s="90"/>
      <c r="E19" s="21"/>
      <c r="F19" s="90"/>
      <c r="G19" s="21"/>
      <c r="H19" s="90"/>
      <c r="I19" s="21"/>
      <c r="J19" s="90"/>
      <c r="K19" s="21"/>
      <c r="L19" s="90"/>
      <c r="M19" s="21"/>
      <c r="N19" s="90"/>
      <c r="O19" s="21"/>
      <c r="P19" s="90"/>
      <c r="Q19" s="21"/>
      <c r="R19" s="90"/>
      <c r="S19" s="21"/>
      <c r="T19" s="90"/>
      <c r="U19" s="21"/>
      <c r="V19" s="90"/>
      <c r="W19" s="21"/>
      <c r="X19" s="90"/>
      <c r="Y19" s="21"/>
    </row>
    <row r="20" spans="1:25">
      <c r="A20" s="20"/>
      <c r="B20" s="90"/>
      <c r="C20" s="21"/>
      <c r="D20" s="90"/>
      <c r="E20" s="21"/>
      <c r="F20" s="90"/>
      <c r="G20" s="21"/>
      <c r="H20" s="90"/>
      <c r="I20" s="21"/>
      <c r="J20" s="90"/>
      <c r="K20" s="21"/>
      <c r="L20" s="90"/>
      <c r="M20" s="21"/>
      <c r="N20" s="90"/>
      <c r="O20" s="21"/>
      <c r="P20" s="90"/>
      <c r="Q20" s="21"/>
      <c r="R20" s="90"/>
      <c r="S20" s="21"/>
      <c r="T20" s="90"/>
      <c r="U20" s="21"/>
      <c r="V20" s="90"/>
      <c r="W20" s="21"/>
      <c r="X20" s="90"/>
      <c r="Y20" s="21"/>
    </row>
    <row r="21" spans="1:25">
      <c r="A21" s="20"/>
      <c r="B21" s="90"/>
      <c r="C21" s="19"/>
      <c r="D21" s="90"/>
      <c r="E21" s="19"/>
      <c r="F21" s="90"/>
      <c r="G21" s="19"/>
      <c r="H21" s="90"/>
      <c r="I21" s="19"/>
      <c r="J21" s="90"/>
      <c r="K21" s="19"/>
      <c r="L21" s="90"/>
      <c r="M21" s="19"/>
      <c r="N21" s="90"/>
      <c r="O21" s="19"/>
      <c r="P21" s="90"/>
      <c r="Q21" s="19"/>
      <c r="R21" s="90"/>
      <c r="S21" s="19"/>
      <c r="T21" s="90"/>
      <c r="U21" s="19"/>
      <c r="V21" s="90"/>
      <c r="W21" s="19"/>
      <c r="X21" s="90"/>
      <c r="Y21" s="19"/>
    </row>
    <row r="22" spans="1:25">
      <c r="A22" s="20"/>
      <c r="B22" s="90"/>
      <c r="C22" s="21"/>
      <c r="D22" s="90"/>
      <c r="E22" s="21"/>
      <c r="F22" s="90"/>
      <c r="G22" s="21"/>
      <c r="H22" s="90"/>
      <c r="I22" s="21"/>
      <c r="J22" s="90"/>
      <c r="K22" s="21"/>
      <c r="L22" s="90"/>
      <c r="M22" s="21"/>
      <c r="N22" s="90"/>
      <c r="O22" s="21"/>
      <c r="P22" s="90"/>
      <c r="Q22" s="21"/>
      <c r="R22" s="90"/>
      <c r="S22" s="21"/>
      <c r="T22" s="90"/>
      <c r="U22" s="21"/>
      <c r="V22" s="90"/>
      <c r="W22" s="21"/>
      <c r="X22" s="90"/>
      <c r="Y22" s="21"/>
    </row>
    <row r="23" spans="1:25">
      <c r="A23" s="20"/>
      <c r="B23" s="90"/>
      <c r="C23" s="21"/>
      <c r="D23" s="90"/>
      <c r="E23" s="21"/>
      <c r="F23" s="90"/>
      <c r="G23" s="21"/>
      <c r="H23" s="90"/>
      <c r="I23" s="21"/>
      <c r="J23" s="90"/>
      <c r="K23" s="21"/>
      <c r="L23" s="90"/>
      <c r="M23" s="21"/>
      <c r="N23" s="90"/>
      <c r="O23" s="21"/>
      <c r="P23" s="90"/>
      <c r="Q23" s="21"/>
      <c r="R23" s="90"/>
      <c r="S23" s="21"/>
      <c r="T23" s="90"/>
      <c r="U23" s="21"/>
      <c r="V23" s="90"/>
      <c r="W23" s="21"/>
      <c r="X23" s="90"/>
      <c r="Y23" s="21"/>
    </row>
    <row r="24" spans="1:25">
      <c r="A24" s="5" t="s">
        <v>41</v>
      </c>
      <c r="B24" s="651">
        <f>(B7*QCI!$H$7+B8*QCI!$H$8+B9*QCI!$H$9+B10*QCI!$H$10+B11*QCI!$H$11+B12*QCI!$H$12)/QCI!$H$31</f>
        <v>0.35</v>
      </c>
      <c r="C24" s="652">
        <f>(C7*QCI!$H$7+C8*QCI!$H$8+C9*QCI!$H$9+C10*QCI!$H$10+C11*QCI!$H$11+C12*QCI!$H$12)/QCI!$H$31</f>
        <v>0.35</v>
      </c>
      <c r="D24" s="651">
        <f>(D7*QCI!$H$7+D8*QCI!$H$8+D9*QCI!$H$9+D10*QCI!$H$10+D11*QCI!$H$11+D12*QCI!$H$12)/QCI!$H$31</f>
        <v>0.35</v>
      </c>
      <c r="E24" s="652">
        <f>(E7*QCI!$H$7+E8*QCI!$H$8+E9*QCI!$H$9+E10*QCI!$H$10+E11*QCI!$H$11+E12*QCI!$H$12)/QCI!$H$31</f>
        <v>0.7</v>
      </c>
      <c r="F24" s="651">
        <f>(F7*QCI!$H$7+F8*QCI!$H$8+F9*QCI!$H$9+F10*QCI!$H$10+F11*QCI!$H$11+F12*QCI!$H$12)/QCI!$H$31</f>
        <v>0.3</v>
      </c>
      <c r="G24" s="652">
        <f>(G7*QCI!$H$7+G8*QCI!$H$8+G9*QCI!$H$9+G10*QCI!$H$10+G11*QCI!$H$11+G12*QCI!$H$12)/QCI!$H$31</f>
        <v>0.99999999999999978</v>
      </c>
      <c r="H24" s="651"/>
      <c r="I24" s="652"/>
      <c r="J24" s="651"/>
      <c r="K24" s="652"/>
      <c r="L24" s="319"/>
      <c r="M24" s="4"/>
      <c r="N24" s="319"/>
      <c r="O24" s="320"/>
      <c r="P24" s="319"/>
      <c r="Q24" s="320"/>
      <c r="R24" s="319"/>
      <c r="S24" s="320"/>
      <c r="T24" s="319"/>
      <c r="U24" s="320"/>
      <c r="V24" s="319"/>
      <c r="W24" s="320"/>
      <c r="X24" s="319"/>
      <c r="Y24" s="4"/>
    </row>
    <row r="25" spans="1:25">
      <c r="A25" s="3" t="s">
        <v>42</v>
      </c>
      <c r="B25" s="739"/>
      <c r="C25" s="740"/>
      <c r="D25" s="739"/>
      <c r="E25" s="740"/>
      <c r="F25" s="739"/>
      <c r="G25" s="740"/>
      <c r="H25" s="739"/>
      <c r="I25" s="740"/>
      <c r="J25" s="739"/>
      <c r="K25" s="740"/>
      <c r="L25" s="732"/>
      <c r="M25" s="733"/>
      <c r="N25" s="732"/>
      <c r="O25" s="733"/>
      <c r="P25" s="732"/>
      <c r="Q25" s="733"/>
      <c r="R25" s="732"/>
      <c r="S25" s="733"/>
      <c r="T25" s="732"/>
      <c r="U25" s="733"/>
      <c r="V25" s="732"/>
      <c r="W25" s="733"/>
      <c r="X25" s="732"/>
      <c r="Y25" s="733"/>
    </row>
    <row r="26" spans="1:25">
      <c r="A26" s="4" t="s">
        <v>43</v>
      </c>
      <c r="B26" s="741">
        <f>B7*QCI!$H$7+B8*QCI!$H$8+B9*QCI!$H$9+B10*QCI!$H$10+B11*QCI!$H$11+B12*QCI!$H$12</f>
        <v>49366.078999999998</v>
      </c>
      <c r="C26" s="740"/>
      <c r="D26" s="741">
        <f>D7*QCI!$H$7+D8*QCI!$H$8+D9*QCI!$H$9+D10*QCI!$H$10+D11*QCI!$H$11+D12*QCI!$H$12</f>
        <v>49366.078999999998</v>
      </c>
      <c r="E26" s="740"/>
      <c r="F26" s="741">
        <f>F7*QCI!$H$7+F8*QCI!$H$8+F9*QCI!$H$9+F10*QCI!$H$10+F11*QCI!$H$11+F12*QCI!$H$12</f>
        <v>42313.781999999999</v>
      </c>
      <c r="G26" s="740"/>
      <c r="H26" s="741"/>
      <c r="I26" s="740"/>
      <c r="J26" s="741"/>
      <c r="K26" s="740"/>
      <c r="L26" s="742"/>
      <c r="M26" s="733"/>
      <c r="N26" s="732"/>
      <c r="O26" s="733"/>
      <c r="P26" s="732"/>
      <c r="Q26" s="733"/>
      <c r="R26" s="732"/>
      <c r="S26" s="733"/>
      <c r="T26" s="732"/>
      <c r="U26" s="733"/>
      <c r="V26" s="732"/>
      <c r="W26" s="733"/>
      <c r="X26" s="732"/>
      <c r="Y26" s="733"/>
    </row>
    <row r="27" spans="1:25">
      <c r="A27" s="4" t="s">
        <v>44</v>
      </c>
      <c r="B27" s="739"/>
      <c r="C27" s="740"/>
      <c r="D27" s="739"/>
      <c r="E27" s="740"/>
      <c r="F27" s="739"/>
      <c r="G27" s="740"/>
      <c r="H27" s="739"/>
      <c r="I27" s="740"/>
      <c r="J27" s="739"/>
      <c r="K27" s="740"/>
      <c r="L27" s="732"/>
      <c r="M27" s="733"/>
      <c r="N27" s="732"/>
      <c r="O27" s="733"/>
      <c r="P27" s="732"/>
      <c r="Q27" s="733"/>
      <c r="R27" s="732"/>
      <c r="S27" s="733"/>
      <c r="T27" s="732"/>
      <c r="U27" s="733"/>
      <c r="V27" s="732"/>
      <c r="W27" s="733"/>
      <c r="X27" s="732"/>
      <c r="Y27" s="733"/>
    </row>
    <row r="28" spans="1:25">
      <c r="A28" s="4" t="s">
        <v>45</v>
      </c>
      <c r="B28" s="739"/>
      <c r="C28" s="740"/>
      <c r="D28" s="739"/>
      <c r="E28" s="740"/>
      <c r="F28" s="739"/>
      <c r="G28" s="740"/>
      <c r="H28" s="739"/>
      <c r="I28" s="740"/>
      <c r="J28" s="739"/>
      <c r="K28" s="740"/>
      <c r="L28" s="732"/>
      <c r="M28" s="733"/>
      <c r="N28" s="732"/>
      <c r="O28" s="733"/>
      <c r="P28" s="732"/>
      <c r="Q28" s="733"/>
      <c r="R28" s="732"/>
      <c r="S28" s="733"/>
      <c r="T28" s="732"/>
      <c r="U28" s="733"/>
      <c r="V28" s="732"/>
      <c r="W28" s="733"/>
      <c r="X28" s="732"/>
      <c r="Y28" s="733"/>
    </row>
    <row r="29" spans="1:25">
      <c r="A29" s="4" t="s">
        <v>46</v>
      </c>
      <c r="B29" s="735">
        <f>SUM(B25:C28)</f>
        <v>49366.078999999998</v>
      </c>
      <c r="C29" s="736"/>
      <c r="D29" s="735">
        <f t="shared" ref="D29" si="6">SUM(D25:E28)</f>
        <v>49366.078999999998</v>
      </c>
      <c r="E29" s="736"/>
      <c r="F29" s="735">
        <f t="shared" ref="F29" si="7">SUM(F25:G28)</f>
        <v>42313.781999999999</v>
      </c>
      <c r="G29" s="736"/>
      <c r="H29" s="735"/>
      <c r="I29" s="736"/>
      <c r="J29" s="735"/>
      <c r="K29" s="736"/>
      <c r="L29" s="737"/>
      <c r="M29" s="738"/>
      <c r="N29" s="732"/>
      <c r="O29" s="733"/>
      <c r="P29" s="732"/>
      <c r="Q29" s="733"/>
      <c r="R29" s="732"/>
      <c r="S29" s="733"/>
      <c r="T29" s="732"/>
      <c r="U29" s="733"/>
      <c r="V29" s="732"/>
      <c r="W29" s="733"/>
      <c r="X29" s="732"/>
      <c r="Y29" s="733"/>
    </row>
    <row r="30" spans="1:25">
      <c r="A30" s="22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23"/>
    </row>
    <row r="31" spans="1: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24"/>
    </row>
    <row r="32" spans="1: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24"/>
    </row>
    <row r="33" spans="1: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24"/>
    </row>
    <row r="34" spans="1: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24"/>
    </row>
    <row r="35" spans="1: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24"/>
    </row>
    <row r="36" spans="1: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24"/>
    </row>
    <row r="37" spans="1:2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24"/>
    </row>
    <row r="38" spans="1: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24"/>
    </row>
    <row r="39" spans="1:25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24"/>
    </row>
    <row r="40" spans="1:25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24"/>
    </row>
    <row r="41" spans="1:25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24"/>
    </row>
    <row r="42" spans="1:25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24"/>
    </row>
    <row r="43" spans="1:25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24"/>
    </row>
    <row r="44" spans="1:25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24"/>
    </row>
    <row r="45" spans="1:25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24"/>
    </row>
    <row r="46" spans="1:25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24"/>
    </row>
    <row r="47" spans="1:25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24"/>
    </row>
    <row r="48" spans="1:25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24"/>
    </row>
    <row r="49" spans="1:25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24"/>
    </row>
    <row r="50" spans="1:25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24"/>
    </row>
    <row r="51" spans="1:2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24"/>
    </row>
    <row r="52" spans="1:25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24"/>
    </row>
    <row r="53" spans="1:25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24"/>
    </row>
    <row r="54" spans="1:25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24"/>
    </row>
    <row r="55" spans="1:2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24"/>
    </row>
    <row r="56" spans="1:25">
      <c r="A56" s="7"/>
      <c r="B56" s="15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734"/>
      <c r="W56" s="734"/>
      <c r="X56" s="734"/>
      <c r="Y56" s="24"/>
    </row>
    <row r="57" spans="1:25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3"/>
      <c r="X57" s="13"/>
      <c r="Y57" s="25"/>
    </row>
  </sheetData>
  <mergeCells count="82">
    <mergeCell ref="A1:A3"/>
    <mergeCell ref="V3:Y3"/>
    <mergeCell ref="A5:A6"/>
    <mergeCell ref="B5:C5"/>
    <mergeCell ref="D5:E5"/>
    <mergeCell ref="F5:G5"/>
    <mergeCell ref="H5:I5"/>
    <mergeCell ref="X5:Y5"/>
    <mergeCell ref="T5:U5"/>
    <mergeCell ref="V5:W5"/>
    <mergeCell ref="B1:Y1"/>
    <mergeCell ref="V2:Y2"/>
    <mergeCell ref="N2:Q2"/>
    <mergeCell ref="B3:U3"/>
    <mergeCell ref="B2:M2"/>
    <mergeCell ref="L5:M5"/>
    <mergeCell ref="N5:O5"/>
    <mergeCell ref="P5:Q5"/>
    <mergeCell ref="R5:S5"/>
    <mergeCell ref="B25:C25"/>
    <mergeCell ref="D25:E25"/>
    <mergeCell ref="F25:G25"/>
    <mergeCell ref="H25:I25"/>
    <mergeCell ref="J25:K25"/>
    <mergeCell ref="J5:K5"/>
    <mergeCell ref="T25:U25"/>
    <mergeCell ref="V25:W25"/>
    <mergeCell ref="X25:Y25"/>
    <mergeCell ref="B26:C26"/>
    <mergeCell ref="D26:E26"/>
    <mergeCell ref="F26:G26"/>
    <mergeCell ref="H26:I26"/>
    <mergeCell ref="J26:K26"/>
    <mergeCell ref="L26:M26"/>
    <mergeCell ref="N26:O26"/>
    <mergeCell ref="X26:Y26"/>
    <mergeCell ref="L25:M25"/>
    <mergeCell ref="N25:O25"/>
    <mergeCell ref="P25:Q25"/>
    <mergeCell ref="R25:S25"/>
    <mergeCell ref="B27:C27"/>
    <mergeCell ref="D27:E27"/>
    <mergeCell ref="F27:G27"/>
    <mergeCell ref="H27:I27"/>
    <mergeCell ref="J27:K27"/>
    <mergeCell ref="V56:X56"/>
    <mergeCell ref="T28:U28"/>
    <mergeCell ref="V28:W28"/>
    <mergeCell ref="X28:Y28"/>
    <mergeCell ref="B29:C29"/>
    <mergeCell ref="D29:E29"/>
    <mergeCell ref="F29:G29"/>
    <mergeCell ref="H29:I29"/>
    <mergeCell ref="J29:K29"/>
    <mergeCell ref="L29:M29"/>
    <mergeCell ref="N29:O29"/>
    <mergeCell ref="B28:C28"/>
    <mergeCell ref="D28:E28"/>
    <mergeCell ref="F28:G28"/>
    <mergeCell ref="H28:I28"/>
    <mergeCell ref="J28:K28"/>
    <mergeCell ref="P29:Q29"/>
    <mergeCell ref="R29:S29"/>
    <mergeCell ref="T29:U29"/>
    <mergeCell ref="V29:W29"/>
    <mergeCell ref="X29:Y29"/>
    <mergeCell ref="R2:U2"/>
    <mergeCell ref="X27:Y27"/>
    <mergeCell ref="L28:M28"/>
    <mergeCell ref="N28:O28"/>
    <mergeCell ref="P28:Q28"/>
    <mergeCell ref="R28:S28"/>
    <mergeCell ref="L27:M27"/>
    <mergeCell ref="N27:O27"/>
    <mergeCell ref="P27:Q27"/>
    <mergeCell ref="R27:S27"/>
    <mergeCell ref="T27:U27"/>
    <mergeCell ref="V27:W27"/>
    <mergeCell ref="P26:Q26"/>
    <mergeCell ref="R26:S26"/>
    <mergeCell ref="T26:U26"/>
    <mergeCell ref="V26:W2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Footer>&amp;CEng° Darcio Pagani Vieira
Crea/SC - 077.222-9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K43"/>
  <sheetViews>
    <sheetView showGridLines="0" view="pageBreakPreview" zoomScaleNormal="100" zoomScaleSheetLayoutView="100" workbookViewId="0">
      <pane ySplit="3" topLeftCell="A4" activePane="bottomLeft" state="frozen"/>
      <selection activeCell="A24" sqref="A24:A25"/>
      <selection pane="bottomLeft" activeCell="A24" sqref="A24:A25"/>
    </sheetView>
  </sheetViews>
  <sheetFormatPr defaultRowHeight="14.4"/>
  <cols>
    <col min="1" max="1" width="12" style="108" customWidth="1"/>
    <col min="2" max="2" width="10.33203125" style="108" customWidth="1"/>
    <col min="3" max="3" width="10.33203125" style="166" customWidth="1"/>
    <col min="4" max="5" width="10" style="166" customWidth="1"/>
    <col min="6" max="7" width="16.44140625" style="108" customWidth="1"/>
    <col min="8" max="8" width="13.88671875" bestFit="1" customWidth="1"/>
    <col min="9" max="9" width="14.44140625" bestFit="1" customWidth="1"/>
    <col min="10" max="10" width="22.33203125" bestFit="1" customWidth="1"/>
  </cols>
  <sheetData>
    <row r="1" spans="1:11" s="34" customFormat="1" ht="33" customHeight="1">
      <c r="A1" s="753"/>
      <c r="B1" s="752" t="s">
        <v>521</v>
      </c>
      <c r="C1" s="752"/>
      <c r="D1" s="752"/>
      <c r="E1" s="752"/>
      <c r="F1" s="752"/>
      <c r="G1" s="752"/>
      <c r="H1" s="752"/>
      <c r="I1" s="752"/>
      <c r="J1" s="752"/>
      <c r="K1" s="167"/>
    </row>
    <row r="2" spans="1:11" s="34" customFormat="1" ht="12.75" customHeight="1">
      <c r="A2" s="753"/>
      <c r="B2" s="759" t="str">
        <f>PAVIM.!G2</f>
        <v>PREFEITURA MUNICIPAL DE MARACAJÁ</v>
      </c>
      <c r="C2" s="759"/>
      <c r="D2" s="759"/>
      <c r="E2" s="759"/>
      <c r="F2" s="759" t="str">
        <f>PAVIM.!I2</f>
        <v>BAIRRO: VILA BEATRIZ</v>
      </c>
      <c r="G2" s="759"/>
      <c r="H2" s="760" t="str">
        <f>PAVIM.!K2</f>
        <v>MUNICIPIO: MARACAJÁ</v>
      </c>
      <c r="I2" s="760"/>
      <c r="J2" s="348" t="str">
        <f>PAVIM.!M2</f>
        <v>ESTADO: SANTA CATARINA</v>
      </c>
    </row>
    <row r="3" spans="1:11" s="34" customFormat="1" ht="12.75" customHeight="1">
      <c r="A3" s="753"/>
      <c r="B3" s="754" t="str">
        <f>PAVIM.!G3</f>
        <v>RUA JOSÉ MARQUES, RUA VEREADOR FLÁVIO ROCHA, RUA 156 e RUA CRICIÚMA</v>
      </c>
      <c r="C3" s="755"/>
      <c r="D3" s="755"/>
      <c r="E3" s="755"/>
      <c r="F3" s="755"/>
      <c r="G3" s="755"/>
      <c r="H3" s="755"/>
      <c r="I3" s="756"/>
      <c r="J3" s="373" t="str">
        <f ca="1">PAVIM.!M3</f>
        <v>DATA: 15/10/24</v>
      </c>
    </row>
    <row r="4" spans="1:11" ht="27.6">
      <c r="A4" s="758" t="s">
        <v>216</v>
      </c>
      <c r="B4" s="758"/>
      <c r="C4" s="758"/>
      <c r="D4" s="247" t="s">
        <v>224</v>
      </c>
      <c r="E4" s="248" t="s">
        <v>226</v>
      </c>
      <c r="F4" s="247" t="s">
        <v>225</v>
      </c>
      <c r="G4" s="247" t="s">
        <v>227</v>
      </c>
      <c r="H4" s="248" t="s">
        <v>228</v>
      </c>
      <c r="I4" s="247" t="s">
        <v>225</v>
      </c>
      <c r="J4" s="247" t="s">
        <v>229</v>
      </c>
      <c r="K4" s="99"/>
    </row>
    <row r="5" spans="1:11" s="265" customFormat="1">
      <c r="A5" s="761" t="s">
        <v>712</v>
      </c>
      <c r="B5" s="762"/>
      <c r="C5" s="762"/>
      <c r="D5" s="762"/>
      <c r="E5" s="762"/>
      <c r="F5" s="762"/>
      <c r="G5" s="762"/>
      <c r="H5" s="762"/>
      <c r="I5" s="762"/>
      <c r="J5" s="763"/>
      <c r="K5" s="99"/>
    </row>
    <row r="6" spans="1:11" ht="12.9" customHeight="1">
      <c r="A6" s="367">
        <v>0</v>
      </c>
      <c r="B6" s="367" t="s">
        <v>57</v>
      </c>
      <c r="C6" s="249">
        <v>0</v>
      </c>
      <c r="D6" s="249"/>
      <c r="E6" s="252">
        <v>3.706</v>
      </c>
      <c r="F6" s="250"/>
      <c r="G6" s="251"/>
      <c r="H6" s="252">
        <v>0</v>
      </c>
      <c r="I6" s="253"/>
      <c r="J6" s="325"/>
    </row>
    <row r="7" spans="1:11" s="265" customFormat="1" ht="12.9" customHeight="1">
      <c r="A7" s="559">
        <v>1</v>
      </c>
      <c r="B7" s="559" t="s">
        <v>57</v>
      </c>
      <c r="C7" s="249">
        <v>0</v>
      </c>
      <c r="D7" s="249">
        <f t="shared" ref="D7:D15" si="0">((A7*20+C7)-(A6*20+C6))/2</f>
        <v>10</v>
      </c>
      <c r="E7" s="368">
        <v>2.4489999999999998</v>
      </c>
      <c r="F7" s="254">
        <f t="shared" ref="F7:F10" si="1">E7+E6</f>
        <v>6.1549999999999994</v>
      </c>
      <c r="G7" s="255">
        <f t="shared" ref="G7:G10" si="2">TRUNC(F7*D7,2)</f>
        <v>61.55</v>
      </c>
      <c r="H7" s="368">
        <v>0</v>
      </c>
      <c r="I7" s="254">
        <f t="shared" ref="I7:I10" si="3">H7+H6</f>
        <v>0</v>
      </c>
      <c r="J7" s="255">
        <f>TRUNC(I7*D7,2)</f>
        <v>0</v>
      </c>
    </row>
    <row r="8" spans="1:11" s="265" customFormat="1" ht="12.9" customHeight="1">
      <c r="A8" s="559">
        <v>2</v>
      </c>
      <c r="B8" s="559" t="s">
        <v>57</v>
      </c>
      <c r="C8" s="249">
        <v>0</v>
      </c>
      <c r="D8" s="249">
        <f t="shared" si="0"/>
        <v>10</v>
      </c>
      <c r="E8" s="368">
        <v>1.2709999999999999</v>
      </c>
      <c r="F8" s="254">
        <f t="shared" si="1"/>
        <v>3.7199999999999998</v>
      </c>
      <c r="G8" s="255">
        <f t="shared" si="2"/>
        <v>37.200000000000003</v>
      </c>
      <c r="H8" s="368">
        <v>0</v>
      </c>
      <c r="I8" s="254">
        <f t="shared" si="3"/>
        <v>0</v>
      </c>
      <c r="J8" s="255">
        <f t="shared" ref="J8:J15" si="4">TRUNC(I8*D8,2)</f>
        <v>0</v>
      </c>
    </row>
    <row r="9" spans="1:11" s="265" customFormat="1" ht="12.9" customHeight="1">
      <c r="A9" s="559">
        <v>2</v>
      </c>
      <c r="B9" s="559" t="s">
        <v>57</v>
      </c>
      <c r="C9" s="249">
        <v>5.351</v>
      </c>
      <c r="D9" s="249">
        <f t="shared" si="0"/>
        <v>2.6754999999999995</v>
      </c>
      <c r="E9" s="368">
        <v>0.97199999999999998</v>
      </c>
      <c r="F9" s="254">
        <f t="shared" si="1"/>
        <v>2.2429999999999999</v>
      </c>
      <c r="G9" s="255">
        <f t="shared" si="2"/>
        <v>6</v>
      </c>
      <c r="H9" s="368">
        <v>0</v>
      </c>
      <c r="I9" s="254">
        <f t="shared" si="3"/>
        <v>0</v>
      </c>
      <c r="J9" s="255">
        <f t="shared" si="4"/>
        <v>0</v>
      </c>
    </row>
    <row r="10" spans="1:11" s="265" customFormat="1" ht="12.9" customHeight="1">
      <c r="A10" s="559">
        <v>2</v>
      </c>
      <c r="B10" s="559" t="s">
        <v>57</v>
      </c>
      <c r="C10" s="249">
        <v>6.5620000000000003</v>
      </c>
      <c r="D10" s="249">
        <f t="shared" si="0"/>
        <v>0.60549999999999926</v>
      </c>
      <c r="E10" s="368">
        <v>0.89300000000000002</v>
      </c>
      <c r="F10" s="254">
        <f t="shared" si="1"/>
        <v>1.865</v>
      </c>
      <c r="G10" s="255">
        <f t="shared" si="2"/>
        <v>1.1200000000000001</v>
      </c>
      <c r="H10" s="368">
        <v>0</v>
      </c>
      <c r="I10" s="254">
        <f t="shared" si="3"/>
        <v>0</v>
      </c>
      <c r="J10" s="255">
        <f t="shared" si="4"/>
        <v>0</v>
      </c>
    </row>
    <row r="11" spans="1:11" s="265" customFormat="1" ht="12.9" customHeight="1">
      <c r="A11" s="559">
        <v>3</v>
      </c>
      <c r="B11" s="559" t="s">
        <v>57</v>
      </c>
      <c r="C11" s="249">
        <v>0</v>
      </c>
      <c r="D11" s="249">
        <f t="shared" si="0"/>
        <v>6.7190000000000012</v>
      </c>
      <c r="E11" s="368">
        <v>1.234</v>
      </c>
      <c r="F11" s="254">
        <f t="shared" ref="F11" si="5">E11+E10</f>
        <v>2.1269999999999998</v>
      </c>
      <c r="G11" s="255">
        <f t="shared" ref="G11" si="6">TRUNC(F11*D11,2)</f>
        <v>14.29</v>
      </c>
      <c r="H11" s="368">
        <v>0</v>
      </c>
      <c r="I11" s="254">
        <f t="shared" ref="I11" si="7">H11+H10</f>
        <v>0</v>
      </c>
      <c r="J11" s="255">
        <f t="shared" si="4"/>
        <v>0</v>
      </c>
    </row>
    <row r="12" spans="1:11" s="265" customFormat="1" ht="12.9" customHeight="1">
      <c r="A12" s="559">
        <v>4</v>
      </c>
      <c r="B12" s="559" t="s">
        <v>57</v>
      </c>
      <c r="C12" s="249">
        <v>0</v>
      </c>
      <c r="D12" s="249">
        <f t="shared" si="0"/>
        <v>10</v>
      </c>
      <c r="E12" s="368">
        <v>1.617</v>
      </c>
      <c r="F12" s="254">
        <f t="shared" ref="F12:F15" si="8">E12+E11</f>
        <v>2.851</v>
      </c>
      <c r="G12" s="255">
        <f t="shared" ref="G12:G15" si="9">TRUNC(F12*D12,2)</f>
        <v>28.51</v>
      </c>
      <c r="H12" s="368">
        <v>0</v>
      </c>
      <c r="I12" s="254">
        <f t="shared" ref="I12:I15" si="10">H12+H11</f>
        <v>0</v>
      </c>
      <c r="J12" s="255">
        <f t="shared" si="4"/>
        <v>0</v>
      </c>
    </row>
    <row r="13" spans="1:11" s="265" customFormat="1" ht="12.9" customHeight="1">
      <c r="A13" s="559">
        <v>5</v>
      </c>
      <c r="B13" s="559" t="s">
        <v>57</v>
      </c>
      <c r="C13" s="249">
        <v>0</v>
      </c>
      <c r="D13" s="249">
        <f t="shared" si="0"/>
        <v>10</v>
      </c>
      <c r="E13" s="368">
        <v>2.984</v>
      </c>
      <c r="F13" s="254">
        <f t="shared" si="8"/>
        <v>4.601</v>
      </c>
      <c r="G13" s="255">
        <f t="shared" si="9"/>
        <v>46.01</v>
      </c>
      <c r="H13" s="368">
        <v>0</v>
      </c>
      <c r="I13" s="254">
        <f t="shared" si="10"/>
        <v>0</v>
      </c>
      <c r="J13" s="255">
        <f t="shared" si="4"/>
        <v>0</v>
      </c>
    </row>
    <row r="14" spans="1:11" s="265" customFormat="1" ht="12.9" customHeight="1">
      <c r="A14" s="559">
        <v>6</v>
      </c>
      <c r="B14" s="559" t="s">
        <v>57</v>
      </c>
      <c r="C14" s="249">
        <v>0</v>
      </c>
      <c r="D14" s="249">
        <f t="shared" si="0"/>
        <v>10</v>
      </c>
      <c r="E14" s="368">
        <v>4.3890000000000002</v>
      </c>
      <c r="F14" s="254">
        <f t="shared" si="8"/>
        <v>7.3730000000000002</v>
      </c>
      <c r="G14" s="255">
        <f t="shared" si="9"/>
        <v>73.73</v>
      </c>
      <c r="H14" s="368">
        <v>0</v>
      </c>
      <c r="I14" s="254">
        <f t="shared" si="10"/>
        <v>0</v>
      </c>
      <c r="J14" s="255">
        <f t="shared" si="4"/>
        <v>0</v>
      </c>
    </row>
    <row r="15" spans="1:11" s="265" customFormat="1" ht="12.9" customHeight="1">
      <c r="A15" s="559">
        <v>6</v>
      </c>
      <c r="B15" s="559" t="s">
        <v>57</v>
      </c>
      <c r="C15" s="249">
        <v>10.159000000000001</v>
      </c>
      <c r="D15" s="249">
        <f t="shared" si="0"/>
        <v>5.0794999999999959</v>
      </c>
      <c r="E15" s="368">
        <v>5.6760000000000002</v>
      </c>
      <c r="F15" s="254">
        <f t="shared" si="8"/>
        <v>10.065000000000001</v>
      </c>
      <c r="G15" s="255">
        <f t="shared" si="9"/>
        <v>51.12</v>
      </c>
      <c r="H15" s="368">
        <v>0</v>
      </c>
      <c r="I15" s="254">
        <f t="shared" si="10"/>
        <v>0</v>
      </c>
      <c r="J15" s="255">
        <f t="shared" si="4"/>
        <v>0</v>
      </c>
    </row>
    <row r="16" spans="1:11" ht="12.75" customHeight="1">
      <c r="A16" s="321"/>
      <c r="B16" s="256"/>
      <c r="C16" s="257"/>
      <c r="D16" s="257"/>
      <c r="E16" s="257"/>
      <c r="F16" s="256"/>
      <c r="G16" s="258">
        <f>SUM(G7:G15)</f>
        <v>319.52999999999997</v>
      </c>
      <c r="H16" s="257"/>
      <c r="I16" s="256"/>
      <c r="J16" s="258">
        <f>SUM(J7:J15)</f>
        <v>0</v>
      </c>
    </row>
    <row r="17" spans="1:11" ht="12.75" customHeight="1">
      <c r="A17" s="322"/>
      <c r="B17" s="259"/>
      <c r="C17" s="260"/>
      <c r="D17" s="260"/>
      <c r="E17" s="260"/>
      <c r="F17" s="259"/>
      <c r="G17" s="261"/>
      <c r="H17" s="260"/>
      <c r="I17" s="259"/>
      <c r="J17" s="323"/>
    </row>
    <row r="18" spans="1:11" s="265" customFormat="1">
      <c r="A18" s="761" t="s">
        <v>713</v>
      </c>
      <c r="B18" s="762"/>
      <c r="C18" s="762"/>
      <c r="D18" s="762"/>
      <c r="E18" s="762"/>
      <c r="F18" s="762"/>
      <c r="G18" s="762"/>
      <c r="H18" s="762"/>
      <c r="I18" s="762"/>
      <c r="J18" s="763"/>
      <c r="K18" s="99"/>
    </row>
    <row r="19" spans="1:11" s="265" customFormat="1" ht="12.9" customHeight="1">
      <c r="A19" s="559">
        <v>0</v>
      </c>
      <c r="B19" s="559" t="s">
        <v>57</v>
      </c>
      <c r="C19" s="249">
        <v>0</v>
      </c>
      <c r="D19" s="249"/>
      <c r="E19" s="252">
        <v>3.0569999999999999</v>
      </c>
      <c r="F19" s="250"/>
      <c r="G19" s="251"/>
      <c r="H19" s="252">
        <v>0</v>
      </c>
      <c r="I19" s="253"/>
      <c r="J19" s="325"/>
    </row>
    <row r="20" spans="1:11" s="265" customFormat="1" ht="12.9" customHeight="1">
      <c r="A20" s="559">
        <v>1</v>
      </c>
      <c r="B20" s="559" t="s">
        <v>57</v>
      </c>
      <c r="C20" s="249">
        <v>0</v>
      </c>
      <c r="D20" s="249">
        <f t="shared" ref="D20:D27" si="11">((A20*20+C20)-(A19*20+C19))/2</f>
        <v>10</v>
      </c>
      <c r="E20" s="368">
        <v>1.772</v>
      </c>
      <c r="F20" s="254">
        <f t="shared" ref="F20:F24" si="12">E20+E19</f>
        <v>4.8289999999999997</v>
      </c>
      <c r="G20" s="255">
        <f t="shared" ref="G20:G24" si="13">TRUNC(F20*D20,2)</f>
        <v>48.29</v>
      </c>
      <c r="H20" s="368">
        <v>0</v>
      </c>
      <c r="I20" s="254">
        <f t="shared" ref="I20:I24" si="14">H20+H19</f>
        <v>0</v>
      </c>
      <c r="J20" s="255">
        <f>TRUNC(I20*D20,2)</f>
        <v>0</v>
      </c>
    </row>
    <row r="21" spans="1:11" s="265" customFormat="1" ht="12.9" customHeight="1">
      <c r="A21" s="559">
        <v>2</v>
      </c>
      <c r="B21" s="559" t="s">
        <v>57</v>
      </c>
      <c r="C21" s="249">
        <v>0</v>
      </c>
      <c r="D21" s="249">
        <f t="shared" si="11"/>
        <v>10</v>
      </c>
      <c r="E21" s="368">
        <v>1.8919999999999999</v>
      </c>
      <c r="F21" s="254">
        <f t="shared" si="12"/>
        <v>3.6639999999999997</v>
      </c>
      <c r="G21" s="255">
        <f t="shared" si="13"/>
        <v>36.64</v>
      </c>
      <c r="H21" s="368">
        <v>0</v>
      </c>
      <c r="I21" s="254">
        <f t="shared" si="14"/>
        <v>0</v>
      </c>
      <c r="J21" s="255">
        <f t="shared" ref="J21:J24" si="15">TRUNC(I21*D21,2)</f>
        <v>0</v>
      </c>
    </row>
    <row r="22" spans="1:11" s="265" customFormat="1" ht="12.9" customHeight="1">
      <c r="A22" s="559">
        <v>3</v>
      </c>
      <c r="B22" s="559" t="s">
        <v>57</v>
      </c>
      <c r="C22" s="249">
        <v>0</v>
      </c>
      <c r="D22" s="249">
        <f t="shared" si="11"/>
        <v>10</v>
      </c>
      <c r="E22" s="368">
        <v>2.1240000000000001</v>
      </c>
      <c r="F22" s="254">
        <f t="shared" si="12"/>
        <v>4.016</v>
      </c>
      <c r="G22" s="255">
        <f t="shared" si="13"/>
        <v>40.159999999999997</v>
      </c>
      <c r="H22" s="368">
        <v>0</v>
      </c>
      <c r="I22" s="254">
        <f t="shared" si="14"/>
        <v>0</v>
      </c>
      <c r="J22" s="255">
        <f t="shared" si="15"/>
        <v>0</v>
      </c>
    </row>
    <row r="23" spans="1:11" s="265" customFormat="1" ht="12.9" customHeight="1">
      <c r="A23" s="559">
        <v>3</v>
      </c>
      <c r="B23" s="559" t="s">
        <v>57</v>
      </c>
      <c r="C23" s="249">
        <v>10.28</v>
      </c>
      <c r="D23" s="249">
        <f t="shared" si="11"/>
        <v>5.1400000000000006</v>
      </c>
      <c r="E23" s="368">
        <v>2.1389999999999998</v>
      </c>
      <c r="F23" s="254">
        <f t="shared" si="12"/>
        <v>4.2629999999999999</v>
      </c>
      <c r="G23" s="255">
        <f t="shared" si="13"/>
        <v>21.91</v>
      </c>
      <c r="H23" s="368">
        <v>0</v>
      </c>
      <c r="I23" s="254">
        <f t="shared" si="14"/>
        <v>0</v>
      </c>
      <c r="J23" s="255">
        <f t="shared" si="15"/>
        <v>0</v>
      </c>
    </row>
    <row r="24" spans="1:11" s="265" customFormat="1" ht="12.9" customHeight="1">
      <c r="A24" s="559">
        <v>4</v>
      </c>
      <c r="B24" s="559" t="s">
        <v>57</v>
      </c>
      <c r="C24" s="249">
        <v>0</v>
      </c>
      <c r="D24" s="249">
        <f t="shared" si="11"/>
        <v>4.8599999999999994</v>
      </c>
      <c r="E24" s="368">
        <v>2.0870000000000002</v>
      </c>
      <c r="F24" s="254">
        <f t="shared" si="12"/>
        <v>4.226</v>
      </c>
      <c r="G24" s="255">
        <f t="shared" si="13"/>
        <v>20.53</v>
      </c>
      <c r="H24" s="368">
        <v>0</v>
      </c>
      <c r="I24" s="254">
        <f t="shared" si="14"/>
        <v>0</v>
      </c>
      <c r="J24" s="255">
        <f t="shared" si="15"/>
        <v>0</v>
      </c>
    </row>
    <row r="25" spans="1:11" s="265" customFormat="1" ht="12.9" customHeight="1">
      <c r="A25" s="559">
        <v>4</v>
      </c>
      <c r="B25" s="559" t="s">
        <v>57</v>
      </c>
      <c r="C25" s="249">
        <v>14.015000000000001</v>
      </c>
      <c r="D25" s="249">
        <f t="shared" si="11"/>
        <v>7.0075000000000003</v>
      </c>
      <c r="E25" s="368">
        <v>3.0089999999999999</v>
      </c>
      <c r="F25" s="254">
        <f t="shared" ref="F25:F32" si="16">E25+E24</f>
        <v>5.0960000000000001</v>
      </c>
      <c r="G25" s="255">
        <f t="shared" ref="G25:G32" si="17">TRUNC(F25*D25,2)</f>
        <v>35.71</v>
      </c>
      <c r="H25" s="368">
        <v>0</v>
      </c>
      <c r="I25" s="254">
        <f t="shared" ref="I25:I32" si="18">H25+H24</f>
        <v>0</v>
      </c>
      <c r="J25" s="255">
        <f t="shared" ref="J25:J32" si="19">TRUNC(I25*D25,2)</f>
        <v>0</v>
      </c>
    </row>
    <row r="26" spans="1:11" s="265" customFormat="1" ht="12.9" customHeight="1">
      <c r="A26" s="559">
        <v>5</v>
      </c>
      <c r="B26" s="559" t="s">
        <v>57</v>
      </c>
      <c r="C26" s="249">
        <v>0</v>
      </c>
      <c r="D26" s="249">
        <f t="shared" si="11"/>
        <v>2.9924999999999997</v>
      </c>
      <c r="E26" s="368">
        <v>2.8039999999999998</v>
      </c>
      <c r="F26" s="254">
        <f t="shared" si="16"/>
        <v>5.8129999999999997</v>
      </c>
      <c r="G26" s="255">
        <f t="shared" si="17"/>
        <v>17.39</v>
      </c>
      <c r="H26" s="368">
        <v>0</v>
      </c>
      <c r="I26" s="254">
        <f t="shared" si="18"/>
        <v>0</v>
      </c>
      <c r="J26" s="255">
        <f t="shared" si="19"/>
        <v>0</v>
      </c>
    </row>
    <row r="27" spans="1:11" s="265" customFormat="1" ht="12.9" customHeight="1">
      <c r="A27" s="559">
        <v>6</v>
      </c>
      <c r="B27" s="559" t="s">
        <v>57</v>
      </c>
      <c r="C27" s="249">
        <v>0</v>
      </c>
      <c r="D27" s="249">
        <f t="shared" si="11"/>
        <v>10</v>
      </c>
      <c r="E27" s="368">
        <v>2.7839999999999998</v>
      </c>
      <c r="F27" s="254">
        <f t="shared" si="16"/>
        <v>5.5879999999999992</v>
      </c>
      <c r="G27" s="255">
        <f t="shared" si="17"/>
        <v>55.88</v>
      </c>
      <c r="H27" s="368">
        <v>0</v>
      </c>
      <c r="I27" s="254">
        <f t="shared" si="18"/>
        <v>0</v>
      </c>
      <c r="J27" s="255">
        <f t="shared" si="19"/>
        <v>0</v>
      </c>
    </row>
    <row r="28" spans="1:11" s="265" customFormat="1" ht="12.9" customHeight="1">
      <c r="A28" s="559">
        <v>7</v>
      </c>
      <c r="B28" s="559" t="s">
        <v>57</v>
      </c>
      <c r="C28" s="249">
        <v>0</v>
      </c>
      <c r="D28" s="249">
        <f>((A28*20+C28)-(A27*20+C27))/2</f>
        <v>10</v>
      </c>
      <c r="E28" s="368">
        <v>4.5060000000000002</v>
      </c>
      <c r="F28" s="254">
        <f t="shared" si="16"/>
        <v>7.29</v>
      </c>
      <c r="G28" s="255">
        <f t="shared" si="17"/>
        <v>72.900000000000006</v>
      </c>
      <c r="H28" s="368">
        <v>0</v>
      </c>
      <c r="I28" s="254">
        <f t="shared" si="18"/>
        <v>0</v>
      </c>
      <c r="J28" s="255">
        <f t="shared" si="19"/>
        <v>0</v>
      </c>
    </row>
    <row r="29" spans="1:11" s="265" customFormat="1" ht="12.9" customHeight="1">
      <c r="A29" s="559">
        <v>8</v>
      </c>
      <c r="B29" s="559" t="s">
        <v>57</v>
      </c>
      <c r="C29" s="249">
        <v>0</v>
      </c>
      <c r="D29" s="249">
        <f t="shared" ref="D29:D32" si="20">((A29*20+C29)-(A28*20+C28))/2</f>
        <v>10</v>
      </c>
      <c r="E29" s="368">
        <v>4.8760000000000003</v>
      </c>
      <c r="F29" s="254">
        <f t="shared" si="16"/>
        <v>9.3820000000000014</v>
      </c>
      <c r="G29" s="255">
        <f t="shared" si="17"/>
        <v>93.82</v>
      </c>
      <c r="H29" s="368">
        <v>0</v>
      </c>
      <c r="I29" s="254">
        <f t="shared" si="18"/>
        <v>0</v>
      </c>
      <c r="J29" s="255">
        <f t="shared" si="19"/>
        <v>0</v>
      </c>
    </row>
    <row r="30" spans="1:11" s="265" customFormat="1" ht="12.9" customHeight="1">
      <c r="A30" s="559">
        <v>9</v>
      </c>
      <c r="B30" s="559" t="s">
        <v>57</v>
      </c>
      <c r="C30" s="249">
        <v>0</v>
      </c>
      <c r="D30" s="249">
        <f t="shared" si="20"/>
        <v>10</v>
      </c>
      <c r="E30" s="368">
        <v>5.2160000000000002</v>
      </c>
      <c r="F30" s="254">
        <f t="shared" si="16"/>
        <v>10.092000000000001</v>
      </c>
      <c r="G30" s="255">
        <f t="shared" si="17"/>
        <v>100.92</v>
      </c>
      <c r="H30" s="368">
        <v>0</v>
      </c>
      <c r="I30" s="254">
        <f t="shared" si="18"/>
        <v>0</v>
      </c>
      <c r="J30" s="255">
        <f t="shared" si="19"/>
        <v>0</v>
      </c>
    </row>
    <row r="31" spans="1:11" s="265" customFormat="1" ht="12.9" customHeight="1">
      <c r="A31" s="559">
        <v>10</v>
      </c>
      <c r="B31" s="559" t="s">
        <v>57</v>
      </c>
      <c r="C31" s="249">
        <v>0</v>
      </c>
      <c r="D31" s="249">
        <f t="shared" si="20"/>
        <v>10</v>
      </c>
      <c r="E31" s="368">
        <v>5.1639999999999997</v>
      </c>
      <c r="F31" s="254">
        <f t="shared" si="16"/>
        <v>10.379999999999999</v>
      </c>
      <c r="G31" s="255">
        <f t="shared" si="17"/>
        <v>103.8</v>
      </c>
      <c r="H31" s="368">
        <v>0</v>
      </c>
      <c r="I31" s="254">
        <f t="shared" si="18"/>
        <v>0</v>
      </c>
      <c r="J31" s="255">
        <f t="shared" si="19"/>
        <v>0</v>
      </c>
    </row>
    <row r="32" spans="1:11" s="265" customFormat="1" ht="12.9" customHeight="1">
      <c r="A32" s="559">
        <v>10</v>
      </c>
      <c r="B32" s="559" t="s">
        <v>57</v>
      </c>
      <c r="C32" s="249">
        <v>7.7480000000000002</v>
      </c>
      <c r="D32" s="249">
        <f t="shared" si="20"/>
        <v>3.8739999999999952</v>
      </c>
      <c r="E32" s="368">
        <v>4.4669999999999996</v>
      </c>
      <c r="F32" s="254">
        <f t="shared" si="16"/>
        <v>9.6310000000000002</v>
      </c>
      <c r="G32" s="255">
        <f t="shared" si="17"/>
        <v>37.31</v>
      </c>
      <c r="H32" s="368">
        <v>0</v>
      </c>
      <c r="I32" s="254">
        <f t="shared" si="18"/>
        <v>0</v>
      </c>
      <c r="J32" s="255">
        <f t="shared" si="19"/>
        <v>0</v>
      </c>
    </row>
    <row r="33" spans="1:10" s="265" customFormat="1" ht="12.75" customHeight="1">
      <c r="A33" s="321"/>
      <c r="B33" s="256"/>
      <c r="C33" s="257"/>
      <c r="D33" s="257"/>
      <c r="E33" s="257"/>
      <c r="F33" s="256"/>
      <c r="G33" s="258">
        <f>SUM(G20:G32)</f>
        <v>685.26</v>
      </c>
      <c r="H33" s="257"/>
      <c r="I33" s="256"/>
      <c r="J33" s="258">
        <f>SUM(J20:J32)</f>
        <v>0</v>
      </c>
    </row>
    <row r="34" spans="1:10" s="265" customFormat="1" ht="12.75" customHeight="1">
      <c r="A34" s="322"/>
      <c r="B34" s="259"/>
      <c r="C34" s="260"/>
      <c r="D34" s="260"/>
      <c r="E34" s="260"/>
      <c r="F34" s="259"/>
      <c r="G34" s="261"/>
      <c r="H34" s="260"/>
      <c r="I34" s="259"/>
      <c r="J34" s="323"/>
    </row>
    <row r="35" spans="1:10" ht="12.75" customHeight="1">
      <c r="A35" s="757" t="s">
        <v>465</v>
      </c>
      <c r="B35" s="757"/>
      <c r="C35" s="757"/>
      <c r="D35" s="757"/>
      <c r="E35" s="757"/>
      <c r="F35" s="757"/>
      <c r="G35" s="757"/>
      <c r="H35" s="757"/>
      <c r="I35" s="258">
        <f>G16+G33</f>
        <v>1004.79</v>
      </c>
      <c r="J35" s="324"/>
    </row>
    <row r="36" spans="1:10" s="265" customFormat="1" ht="12.75" customHeight="1">
      <c r="A36" s="757" t="s">
        <v>466</v>
      </c>
      <c r="B36" s="757"/>
      <c r="C36" s="757"/>
      <c r="D36" s="757"/>
      <c r="E36" s="757"/>
      <c r="F36" s="757"/>
      <c r="G36" s="757"/>
      <c r="H36" s="757"/>
      <c r="I36" s="258">
        <f>J16</f>
        <v>0</v>
      </c>
      <c r="J36" s="324"/>
    </row>
    <row r="37" spans="1:10" ht="12.75" customHeight="1">
      <c r="A37" s="757" t="s">
        <v>626</v>
      </c>
      <c r="B37" s="757"/>
      <c r="C37" s="757"/>
      <c r="D37" s="757"/>
      <c r="E37" s="757"/>
      <c r="F37" s="757"/>
      <c r="G37" s="757"/>
      <c r="H37" s="757"/>
      <c r="I37" s="258">
        <f>I35-I36</f>
        <v>1004.79</v>
      </c>
      <c r="J37" s="596"/>
    </row>
    <row r="38" spans="1:10" ht="12.75" customHeight="1"/>
    <row r="39" spans="1:10" ht="12.75" customHeight="1"/>
    <row r="40" spans="1:10" ht="12.75" customHeight="1"/>
    <row r="41" spans="1:10" ht="12.75" customHeight="1"/>
    <row r="42" spans="1:10" ht="12.75" customHeight="1"/>
    <row r="43" spans="1:10" ht="12.75" customHeight="1"/>
  </sheetData>
  <mergeCells count="12">
    <mergeCell ref="B1:J1"/>
    <mergeCell ref="A1:A3"/>
    <mergeCell ref="B3:I3"/>
    <mergeCell ref="A37:H37"/>
    <mergeCell ref="A36:H36"/>
    <mergeCell ref="A35:H35"/>
    <mergeCell ref="A4:C4"/>
    <mergeCell ref="F2:G2"/>
    <mergeCell ref="H2:I2"/>
    <mergeCell ref="B2:E2"/>
    <mergeCell ref="A5:J5"/>
    <mergeCell ref="A18:J18"/>
  </mergeCells>
  <printOptions horizontalCentered="1"/>
  <pageMargins left="0.51181102362204722" right="0.51181102362204722" top="0.78740157480314965" bottom="0.78740157480314965" header="0.31496062992125984" footer="0.11811023622047245"/>
  <pageSetup paperSize="9" scale="90" orientation="landscape" r:id="rId1"/>
  <headerFooter>
    <oddFooter>&amp;CEng° Darcio Pagani Vieira
Crea/SC - 077.222-9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R67"/>
  <sheetViews>
    <sheetView showGridLines="0" view="pageBreakPreview" zoomScaleNormal="100" zoomScaleSheetLayoutView="100" workbookViewId="0">
      <selection activeCell="F10" sqref="F10"/>
    </sheetView>
  </sheetViews>
  <sheetFormatPr defaultRowHeight="13.8"/>
  <cols>
    <col min="1" max="1" width="6.33203125" style="109" customWidth="1"/>
    <col min="2" max="2" width="6.5546875" style="109" bestFit="1" customWidth="1"/>
    <col min="3" max="3" width="9" style="109" customWidth="1"/>
    <col min="4" max="4" width="9.33203125" style="109" customWidth="1"/>
    <col min="5" max="5" width="8.5546875" style="109" customWidth="1"/>
    <col min="6" max="6" width="11.109375" style="109" customWidth="1"/>
    <col min="7" max="7" width="8" style="109" bestFit="1" customWidth="1"/>
    <col min="8" max="8" width="5.33203125" style="109" customWidth="1"/>
    <col min="9" max="9" width="8" style="109" bestFit="1" customWidth="1"/>
    <col min="10" max="10" width="8.44140625" style="109" customWidth="1"/>
    <col min="11" max="11" width="20.109375" style="109" customWidth="1"/>
    <col min="12" max="12" width="5.6640625" style="109" bestFit="1" customWidth="1"/>
    <col min="13" max="256" width="9.109375" style="109"/>
    <col min="257" max="257" width="6.33203125" style="109" customWidth="1"/>
    <col min="258" max="258" width="6.5546875" style="109" bestFit="1" customWidth="1"/>
    <col min="259" max="259" width="9" style="109" customWidth="1"/>
    <col min="260" max="260" width="9.33203125" style="109" customWidth="1"/>
    <col min="261" max="261" width="8.5546875" style="109" customWidth="1"/>
    <col min="262" max="262" width="11.109375" style="109" customWidth="1"/>
    <col min="263" max="263" width="8" style="109" bestFit="1" customWidth="1"/>
    <col min="264" max="264" width="5.33203125" style="109" customWidth="1"/>
    <col min="265" max="265" width="8" style="109" bestFit="1" customWidth="1"/>
    <col min="266" max="266" width="8.44140625" style="109" customWidth="1"/>
    <col min="267" max="267" width="20.109375" style="109" customWidth="1"/>
    <col min="268" max="268" width="5.6640625" style="109" bestFit="1" customWidth="1"/>
    <col min="269" max="512" width="9.109375" style="109"/>
    <col min="513" max="513" width="6.33203125" style="109" customWidth="1"/>
    <col min="514" max="514" width="6.5546875" style="109" bestFit="1" customWidth="1"/>
    <col min="515" max="515" width="9" style="109" customWidth="1"/>
    <col min="516" max="516" width="9.33203125" style="109" customWidth="1"/>
    <col min="517" max="517" width="8.5546875" style="109" customWidth="1"/>
    <col min="518" max="518" width="11.109375" style="109" customWidth="1"/>
    <col min="519" max="519" width="8" style="109" bestFit="1" customWidth="1"/>
    <col min="520" max="520" width="5.33203125" style="109" customWidth="1"/>
    <col min="521" max="521" width="8" style="109" bestFit="1" customWidth="1"/>
    <col min="522" max="522" width="8.44140625" style="109" customWidth="1"/>
    <col min="523" max="523" width="20.109375" style="109" customWidth="1"/>
    <col min="524" max="524" width="5.6640625" style="109" bestFit="1" customWidth="1"/>
    <col min="525" max="768" width="9.109375" style="109"/>
    <col min="769" max="769" width="6.33203125" style="109" customWidth="1"/>
    <col min="770" max="770" width="6.5546875" style="109" bestFit="1" customWidth="1"/>
    <col min="771" max="771" width="9" style="109" customWidth="1"/>
    <col min="772" max="772" width="9.33203125" style="109" customWidth="1"/>
    <col min="773" max="773" width="8.5546875" style="109" customWidth="1"/>
    <col min="774" max="774" width="11.109375" style="109" customWidth="1"/>
    <col min="775" max="775" width="8" style="109" bestFit="1" customWidth="1"/>
    <col min="776" max="776" width="5.33203125" style="109" customWidth="1"/>
    <col min="777" max="777" width="8" style="109" bestFit="1" customWidth="1"/>
    <col min="778" max="778" width="8.44140625" style="109" customWidth="1"/>
    <col min="779" max="779" width="20.109375" style="109" customWidth="1"/>
    <col min="780" max="780" width="5.6640625" style="109" bestFit="1" customWidth="1"/>
    <col min="781" max="1024" width="9.109375" style="109"/>
    <col min="1025" max="1025" width="6.33203125" style="109" customWidth="1"/>
    <col min="1026" max="1026" width="6.5546875" style="109" bestFit="1" customWidth="1"/>
    <col min="1027" max="1027" width="9" style="109" customWidth="1"/>
    <col min="1028" max="1028" width="9.33203125" style="109" customWidth="1"/>
    <col min="1029" max="1029" width="8.5546875" style="109" customWidth="1"/>
    <col min="1030" max="1030" width="11.109375" style="109" customWidth="1"/>
    <col min="1031" max="1031" width="8" style="109" bestFit="1" customWidth="1"/>
    <col min="1032" max="1032" width="5.33203125" style="109" customWidth="1"/>
    <col min="1033" max="1033" width="8" style="109" bestFit="1" customWidth="1"/>
    <col min="1034" max="1034" width="8.44140625" style="109" customWidth="1"/>
    <col min="1035" max="1035" width="20.109375" style="109" customWidth="1"/>
    <col min="1036" max="1036" width="5.6640625" style="109" bestFit="1" customWidth="1"/>
    <col min="1037" max="1280" width="9.109375" style="109"/>
    <col min="1281" max="1281" width="6.33203125" style="109" customWidth="1"/>
    <col min="1282" max="1282" width="6.5546875" style="109" bestFit="1" customWidth="1"/>
    <col min="1283" max="1283" width="9" style="109" customWidth="1"/>
    <col min="1284" max="1284" width="9.33203125" style="109" customWidth="1"/>
    <col min="1285" max="1285" width="8.5546875" style="109" customWidth="1"/>
    <col min="1286" max="1286" width="11.109375" style="109" customWidth="1"/>
    <col min="1287" max="1287" width="8" style="109" bestFit="1" customWidth="1"/>
    <col min="1288" max="1288" width="5.33203125" style="109" customWidth="1"/>
    <col min="1289" max="1289" width="8" style="109" bestFit="1" customWidth="1"/>
    <col min="1290" max="1290" width="8.44140625" style="109" customWidth="1"/>
    <col min="1291" max="1291" width="20.109375" style="109" customWidth="1"/>
    <col min="1292" max="1292" width="5.6640625" style="109" bestFit="1" customWidth="1"/>
    <col min="1293" max="1536" width="9.109375" style="109"/>
    <col min="1537" max="1537" width="6.33203125" style="109" customWidth="1"/>
    <col min="1538" max="1538" width="6.5546875" style="109" bestFit="1" customWidth="1"/>
    <col min="1539" max="1539" width="9" style="109" customWidth="1"/>
    <col min="1540" max="1540" width="9.33203125" style="109" customWidth="1"/>
    <col min="1541" max="1541" width="8.5546875" style="109" customWidth="1"/>
    <col min="1542" max="1542" width="11.109375" style="109" customWidth="1"/>
    <col min="1543" max="1543" width="8" style="109" bestFit="1" customWidth="1"/>
    <col min="1544" max="1544" width="5.33203125" style="109" customWidth="1"/>
    <col min="1545" max="1545" width="8" style="109" bestFit="1" customWidth="1"/>
    <col min="1546" max="1546" width="8.44140625" style="109" customWidth="1"/>
    <col min="1547" max="1547" width="20.109375" style="109" customWidth="1"/>
    <col min="1548" max="1548" width="5.6640625" style="109" bestFit="1" customWidth="1"/>
    <col min="1549" max="1792" width="9.109375" style="109"/>
    <col min="1793" max="1793" width="6.33203125" style="109" customWidth="1"/>
    <col min="1794" max="1794" width="6.5546875" style="109" bestFit="1" customWidth="1"/>
    <col min="1795" max="1795" width="9" style="109" customWidth="1"/>
    <col min="1796" max="1796" width="9.33203125" style="109" customWidth="1"/>
    <col min="1797" max="1797" width="8.5546875" style="109" customWidth="1"/>
    <col min="1798" max="1798" width="11.109375" style="109" customWidth="1"/>
    <col min="1799" max="1799" width="8" style="109" bestFit="1" customWidth="1"/>
    <col min="1800" max="1800" width="5.33203125" style="109" customWidth="1"/>
    <col min="1801" max="1801" width="8" style="109" bestFit="1" customWidth="1"/>
    <col min="1802" max="1802" width="8.44140625" style="109" customWidth="1"/>
    <col min="1803" max="1803" width="20.109375" style="109" customWidth="1"/>
    <col min="1804" max="1804" width="5.6640625" style="109" bestFit="1" customWidth="1"/>
    <col min="1805" max="2048" width="9.109375" style="109"/>
    <col min="2049" max="2049" width="6.33203125" style="109" customWidth="1"/>
    <col min="2050" max="2050" width="6.5546875" style="109" bestFit="1" customWidth="1"/>
    <col min="2051" max="2051" width="9" style="109" customWidth="1"/>
    <col min="2052" max="2052" width="9.33203125" style="109" customWidth="1"/>
    <col min="2053" max="2053" width="8.5546875" style="109" customWidth="1"/>
    <col min="2054" max="2054" width="11.109375" style="109" customWidth="1"/>
    <col min="2055" max="2055" width="8" style="109" bestFit="1" customWidth="1"/>
    <col min="2056" max="2056" width="5.33203125" style="109" customWidth="1"/>
    <col min="2057" max="2057" width="8" style="109" bestFit="1" customWidth="1"/>
    <col min="2058" max="2058" width="8.44140625" style="109" customWidth="1"/>
    <col min="2059" max="2059" width="20.109375" style="109" customWidth="1"/>
    <col min="2060" max="2060" width="5.6640625" style="109" bestFit="1" customWidth="1"/>
    <col min="2061" max="2304" width="9.109375" style="109"/>
    <col min="2305" max="2305" width="6.33203125" style="109" customWidth="1"/>
    <col min="2306" max="2306" width="6.5546875" style="109" bestFit="1" customWidth="1"/>
    <col min="2307" max="2307" width="9" style="109" customWidth="1"/>
    <col min="2308" max="2308" width="9.33203125" style="109" customWidth="1"/>
    <col min="2309" max="2309" width="8.5546875" style="109" customWidth="1"/>
    <col min="2310" max="2310" width="11.109375" style="109" customWidth="1"/>
    <col min="2311" max="2311" width="8" style="109" bestFit="1" customWidth="1"/>
    <col min="2312" max="2312" width="5.33203125" style="109" customWidth="1"/>
    <col min="2313" max="2313" width="8" style="109" bestFit="1" customWidth="1"/>
    <col min="2314" max="2314" width="8.44140625" style="109" customWidth="1"/>
    <col min="2315" max="2315" width="20.109375" style="109" customWidth="1"/>
    <col min="2316" max="2316" width="5.6640625" style="109" bestFit="1" customWidth="1"/>
    <col min="2317" max="2560" width="9.109375" style="109"/>
    <col min="2561" max="2561" width="6.33203125" style="109" customWidth="1"/>
    <col min="2562" max="2562" width="6.5546875" style="109" bestFit="1" customWidth="1"/>
    <col min="2563" max="2563" width="9" style="109" customWidth="1"/>
    <col min="2564" max="2564" width="9.33203125" style="109" customWidth="1"/>
    <col min="2565" max="2565" width="8.5546875" style="109" customWidth="1"/>
    <col min="2566" max="2566" width="11.109375" style="109" customWidth="1"/>
    <col min="2567" max="2567" width="8" style="109" bestFit="1" customWidth="1"/>
    <col min="2568" max="2568" width="5.33203125" style="109" customWidth="1"/>
    <col min="2569" max="2569" width="8" style="109" bestFit="1" customWidth="1"/>
    <col min="2570" max="2570" width="8.44140625" style="109" customWidth="1"/>
    <col min="2571" max="2571" width="20.109375" style="109" customWidth="1"/>
    <col min="2572" max="2572" width="5.6640625" style="109" bestFit="1" customWidth="1"/>
    <col min="2573" max="2816" width="9.109375" style="109"/>
    <col min="2817" max="2817" width="6.33203125" style="109" customWidth="1"/>
    <col min="2818" max="2818" width="6.5546875" style="109" bestFit="1" customWidth="1"/>
    <col min="2819" max="2819" width="9" style="109" customWidth="1"/>
    <col min="2820" max="2820" width="9.33203125" style="109" customWidth="1"/>
    <col min="2821" max="2821" width="8.5546875" style="109" customWidth="1"/>
    <col min="2822" max="2822" width="11.109375" style="109" customWidth="1"/>
    <col min="2823" max="2823" width="8" style="109" bestFit="1" customWidth="1"/>
    <col min="2824" max="2824" width="5.33203125" style="109" customWidth="1"/>
    <col min="2825" max="2825" width="8" style="109" bestFit="1" customWidth="1"/>
    <col min="2826" max="2826" width="8.44140625" style="109" customWidth="1"/>
    <col min="2827" max="2827" width="20.109375" style="109" customWidth="1"/>
    <col min="2828" max="2828" width="5.6640625" style="109" bestFit="1" customWidth="1"/>
    <col min="2829" max="3072" width="9.109375" style="109"/>
    <col min="3073" max="3073" width="6.33203125" style="109" customWidth="1"/>
    <col min="3074" max="3074" width="6.5546875" style="109" bestFit="1" customWidth="1"/>
    <col min="3075" max="3075" width="9" style="109" customWidth="1"/>
    <col min="3076" max="3076" width="9.33203125" style="109" customWidth="1"/>
    <col min="3077" max="3077" width="8.5546875" style="109" customWidth="1"/>
    <col min="3078" max="3078" width="11.109375" style="109" customWidth="1"/>
    <col min="3079" max="3079" width="8" style="109" bestFit="1" customWidth="1"/>
    <col min="3080" max="3080" width="5.33203125" style="109" customWidth="1"/>
    <col min="3081" max="3081" width="8" style="109" bestFit="1" customWidth="1"/>
    <col min="3082" max="3082" width="8.44140625" style="109" customWidth="1"/>
    <col min="3083" max="3083" width="20.109375" style="109" customWidth="1"/>
    <col min="3084" max="3084" width="5.6640625" style="109" bestFit="1" customWidth="1"/>
    <col min="3085" max="3328" width="9.109375" style="109"/>
    <col min="3329" max="3329" width="6.33203125" style="109" customWidth="1"/>
    <col min="3330" max="3330" width="6.5546875" style="109" bestFit="1" customWidth="1"/>
    <col min="3331" max="3331" width="9" style="109" customWidth="1"/>
    <col min="3332" max="3332" width="9.33203125" style="109" customWidth="1"/>
    <col min="3333" max="3333" width="8.5546875" style="109" customWidth="1"/>
    <col min="3334" max="3334" width="11.109375" style="109" customWidth="1"/>
    <col min="3335" max="3335" width="8" style="109" bestFit="1" customWidth="1"/>
    <col min="3336" max="3336" width="5.33203125" style="109" customWidth="1"/>
    <col min="3337" max="3337" width="8" style="109" bestFit="1" customWidth="1"/>
    <col min="3338" max="3338" width="8.44140625" style="109" customWidth="1"/>
    <col min="3339" max="3339" width="20.109375" style="109" customWidth="1"/>
    <col min="3340" max="3340" width="5.6640625" style="109" bestFit="1" customWidth="1"/>
    <col min="3341" max="3584" width="9.109375" style="109"/>
    <col min="3585" max="3585" width="6.33203125" style="109" customWidth="1"/>
    <col min="3586" max="3586" width="6.5546875" style="109" bestFit="1" customWidth="1"/>
    <col min="3587" max="3587" width="9" style="109" customWidth="1"/>
    <col min="3588" max="3588" width="9.33203125" style="109" customWidth="1"/>
    <col min="3589" max="3589" width="8.5546875" style="109" customWidth="1"/>
    <col min="3590" max="3590" width="11.109375" style="109" customWidth="1"/>
    <col min="3591" max="3591" width="8" style="109" bestFit="1" customWidth="1"/>
    <col min="3592" max="3592" width="5.33203125" style="109" customWidth="1"/>
    <col min="3593" max="3593" width="8" style="109" bestFit="1" customWidth="1"/>
    <col min="3594" max="3594" width="8.44140625" style="109" customWidth="1"/>
    <col min="3595" max="3595" width="20.109375" style="109" customWidth="1"/>
    <col min="3596" max="3596" width="5.6640625" style="109" bestFit="1" customWidth="1"/>
    <col min="3597" max="3840" width="9.109375" style="109"/>
    <col min="3841" max="3841" width="6.33203125" style="109" customWidth="1"/>
    <col min="3842" max="3842" width="6.5546875" style="109" bestFit="1" customWidth="1"/>
    <col min="3843" max="3843" width="9" style="109" customWidth="1"/>
    <col min="3844" max="3844" width="9.33203125" style="109" customWidth="1"/>
    <col min="3845" max="3845" width="8.5546875" style="109" customWidth="1"/>
    <col min="3846" max="3846" width="11.109375" style="109" customWidth="1"/>
    <col min="3847" max="3847" width="8" style="109" bestFit="1" customWidth="1"/>
    <col min="3848" max="3848" width="5.33203125" style="109" customWidth="1"/>
    <col min="3849" max="3849" width="8" style="109" bestFit="1" customWidth="1"/>
    <col min="3850" max="3850" width="8.44140625" style="109" customWidth="1"/>
    <col min="3851" max="3851" width="20.109375" style="109" customWidth="1"/>
    <col min="3852" max="3852" width="5.6640625" style="109" bestFit="1" customWidth="1"/>
    <col min="3853" max="4096" width="9.109375" style="109"/>
    <col min="4097" max="4097" width="6.33203125" style="109" customWidth="1"/>
    <col min="4098" max="4098" width="6.5546875" style="109" bestFit="1" customWidth="1"/>
    <col min="4099" max="4099" width="9" style="109" customWidth="1"/>
    <col min="4100" max="4100" width="9.33203125" style="109" customWidth="1"/>
    <col min="4101" max="4101" width="8.5546875" style="109" customWidth="1"/>
    <col min="4102" max="4102" width="11.109375" style="109" customWidth="1"/>
    <col min="4103" max="4103" width="8" style="109" bestFit="1" customWidth="1"/>
    <col min="4104" max="4104" width="5.33203125" style="109" customWidth="1"/>
    <col min="4105" max="4105" width="8" style="109" bestFit="1" customWidth="1"/>
    <col min="4106" max="4106" width="8.44140625" style="109" customWidth="1"/>
    <col min="4107" max="4107" width="20.109375" style="109" customWidth="1"/>
    <col min="4108" max="4108" width="5.6640625" style="109" bestFit="1" customWidth="1"/>
    <col min="4109" max="4352" width="9.109375" style="109"/>
    <col min="4353" max="4353" width="6.33203125" style="109" customWidth="1"/>
    <col min="4354" max="4354" width="6.5546875" style="109" bestFit="1" customWidth="1"/>
    <col min="4355" max="4355" width="9" style="109" customWidth="1"/>
    <col min="4356" max="4356" width="9.33203125" style="109" customWidth="1"/>
    <col min="4357" max="4357" width="8.5546875" style="109" customWidth="1"/>
    <col min="4358" max="4358" width="11.109375" style="109" customWidth="1"/>
    <col min="4359" max="4359" width="8" style="109" bestFit="1" customWidth="1"/>
    <col min="4360" max="4360" width="5.33203125" style="109" customWidth="1"/>
    <col min="4361" max="4361" width="8" style="109" bestFit="1" customWidth="1"/>
    <col min="4362" max="4362" width="8.44140625" style="109" customWidth="1"/>
    <col min="4363" max="4363" width="20.109375" style="109" customWidth="1"/>
    <col min="4364" max="4364" width="5.6640625" style="109" bestFit="1" customWidth="1"/>
    <col min="4365" max="4608" width="9.109375" style="109"/>
    <col min="4609" max="4609" width="6.33203125" style="109" customWidth="1"/>
    <col min="4610" max="4610" width="6.5546875" style="109" bestFit="1" customWidth="1"/>
    <col min="4611" max="4611" width="9" style="109" customWidth="1"/>
    <col min="4612" max="4612" width="9.33203125" style="109" customWidth="1"/>
    <col min="4613" max="4613" width="8.5546875" style="109" customWidth="1"/>
    <col min="4614" max="4614" width="11.109375" style="109" customWidth="1"/>
    <col min="4615" max="4615" width="8" style="109" bestFit="1" customWidth="1"/>
    <col min="4616" max="4616" width="5.33203125" style="109" customWidth="1"/>
    <col min="4617" max="4617" width="8" style="109" bestFit="1" customWidth="1"/>
    <col min="4618" max="4618" width="8.44140625" style="109" customWidth="1"/>
    <col min="4619" max="4619" width="20.109375" style="109" customWidth="1"/>
    <col min="4620" max="4620" width="5.6640625" style="109" bestFit="1" customWidth="1"/>
    <col min="4621" max="4864" width="9.109375" style="109"/>
    <col min="4865" max="4865" width="6.33203125" style="109" customWidth="1"/>
    <col min="4866" max="4866" width="6.5546875" style="109" bestFit="1" customWidth="1"/>
    <col min="4867" max="4867" width="9" style="109" customWidth="1"/>
    <col min="4868" max="4868" width="9.33203125" style="109" customWidth="1"/>
    <col min="4869" max="4869" width="8.5546875" style="109" customWidth="1"/>
    <col min="4870" max="4870" width="11.109375" style="109" customWidth="1"/>
    <col min="4871" max="4871" width="8" style="109" bestFit="1" customWidth="1"/>
    <col min="4872" max="4872" width="5.33203125" style="109" customWidth="1"/>
    <col min="4873" max="4873" width="8" style="109" bestFit="1" customWidth="1"/>
    <col min="4874" max="4874" width="8.44140625" style="109" customWidth="1"/>
    <col min="4875" max="4875" width="20.109375" style="109" customWidth="1"/>
    <col min="4876" max="4876" width="5.6640625" style="109" bestFit="1" customWidth="1"/>
    <col min="4877" max="5120" width="9.109375" style="109"/>
    <col min="5121" max="5121" width="6.33203125" style="109" customWidth="1"/>
    <col min="5122" max="5122" width="6.5546875" style="109" bestFit="1" customWidth="1"/>
    <col min="5123" max="5123" width="9" style="109" customWidth="1"/>
    <col min="5124" max="5124" width="9.33203125" style="109" customWidth="1"/>
    <col min="5125" max="5125" width="8.5546875" style="109" customWidth="1"/>
    <col min="5126" max="5126" width="11.109375" style="109" customWidth="1"/>
    <col min="5127" max="5127" width="8" style="109" bestFit="1" customWidth="1"/>
    <col min="5128" max="5128" width="5.33203125" style="109" customWidth="1"/>
    <col min="5129" max="5129" width="8" style="109" bestFit="1" customWidth="1"/>
    <col min="5130" max="5130" width="8.44140625" style="109" customWidth="1"/>
    <col min="5131" max="5131" width="20.109375" style="109" customWidth="1"/>
    <col min="5132" max="5132" width="5.6640625" style="109" bestFit="1" customWidth="1"/>
    <col min="5133" max="5376" width="9.109375" style="109"/>
    <col min="5377" max="5377" width="6.33203125" style="109" customWidth="1"/>
    <col min="5378" max="5378" width="6.5546875" style="109" bestFit="1" customWidth="1"/>
    <col min="5379" max="5379" width="9" style="109" customWidth="1"/>
    <col min="5380" max="5380" width="9.33203125" style="109" customWidth="1"/>
    <col min="5381" max="5381" width="8.5546875" style="109" customWidth="1"/>
    <col min="5382" max="5382" width="11.109375" style="109" customWidth="1"/>
    <col min="5383" max="5383" width="8" style="109" bestFit="1" customWidth="1"/>
    <col min="5384" max="5384" width="5.33203125" style="109" customWidth="1"/>
    <col min="5385" max="5385" width="8" style="109" bestFit="1" customWidth="1"/>
    <col min="5386" max="5386" width="8.44140625" style="109" customWidth="1"/>
    <col min="5387" max="5387" width="20.109375" style="109" customWidth="1"/>
    <col min="5388" max="5388" width="5.6640625" style="109" bestFit="1" customWidth="1"/>
    <col min="5389" max="5632" width="9.109375" style="109"/>
    <col min="5633" max="5633" width="6.33203125" style="109" customWidth="1"/>
    <col min="5634" max="5634" width="6.5546875" style="109" bestFit="1" customWidth="1"/>
    <col min="5635" max="5635" width="9" style="109" customWidth="1"/>
    <col min="5636" max="5636" width="9.33203125" style="109" customWidth="1"/>
    <col min="5637" max="5637" width="8.5546875" style="109" customWidth="1"/>
    <col min="5638" max="5638" width="11.109375" style="109" customWidth="1"/>
    <col min="5639" max="5639" width="8" style="109" bestFit="1" customWidth="1"/>
    <col min="5640" max="5640" width="5.33203125" style="109" customWidth="1"/>
    <col min="5641" max="5641" width="8" style="109" bestFit="1" customWidth="1"/>
    <col min="5642" max="5642" width="8.44140625" style="109" customWidth="1"/>
    <col min="5643" max="5643" width="20.109375" style="109" customWidth="1"/>
    <col min="5644" max="5644" width="5.6640625" style="109" bestFit="1" customWidth="1"/>
    <col min="5645" max="5888" width="9.109375" style="109"/>
    <col min="5889" max="5889" width="6.33203125" style="109" customWidth="1"/>
    <col min="5890" max="5890" width="6.5546875" style="109" bestFit="1" customWidth="1"/>
    <col min="5891" max="5891" width="9" style="109" customWidth="1"/>
    <col min="5892" max="5892" width="9.33203125" style="109" customWidth="1"/>
    <col min="5893" max="5893" width="8.5546875" style="109" customWidth="1"/>
    <col min="5894" max="5894" width="11.109375" style="109" customWidth="1"/>
    <col min="5895" max="5895" width="8" style="109" bestFit="1" customWidth="1"/>
    <col min="5896" max="5896" width="5.33203125" style="109" customWidth="1"/>
    <col min="5897" max="5897" width="8" style="109" bestFit="1" customWidth="1"/>
    <col min="5898" max="5898" width="8.44140625" style="109" customWidth="1"/>
    <col min="5899" max="5899" width="20.109375" style="109" customWidth="1"/>
    <col min="5900" max="5900" width="5.6640625" style="109" bestFit="1" customWidth="1"/>
    <col min="5901" max="6144" width="9.109375" style="109"/>
    <col min="6145" max="6145" width="6.33203125" style="109" customWidth="1"/>
    <col min="6146" max="6146" width="6.5546875" style="109" bestFit="1" customWidth="1"/>
    <col min="6147" max="6147" width="9" style="109" customWidth="1"/>
    <col min="6148" max="6148" width="9.33203125" style="109" customWidth="1"/>
    <col min="6149" max="6149" width="8.5546875" style="109" customWidth="1"/>
    <col min="6150" max="6150" width="11.109375" style="109" customWidth="1"/>
    <col min="6151" max="6151" width="8" style="109" bestFit="1" customWidth="1"/>
    <col min="6152" max="6152" width="5.33203125" style="109" customWidth="1"/>
    <col min="6153" max="6153" width="8" style="109" bestFit="1" customWidth="1"/>
    <col min="6154" max="6154" width="8.44140625" style="109" customWidth="1"/>
    <col min="6155" max="6155" width="20.109375" style="109" customWidth="1"/>
    <col min="6156" max="6156" width="5.6640625" style="109" bestFit="1" customWidth="1"/>
    <col min="6157" max="6400" width="9.109375" style="109"/>
    <col min="6401" max="6401" width="6.33203125" style="109" customWidth="1"/>
    <col min="6402" max="6402" width="6.5546875" style="109" bestFit="1" customWidth="1"/>
    <col min="6403" max="6403" width="9" style="109" customWidth="1"/>
    <col min="6404" max="6404" width="9.33203125" style="109" customWidth="1"/>
    <col min="6405" max="6405" width="8.5546875" style="109" customWidth="1"/>
    <col min="6406" max="6406" width="11.109375" style="109" customWidth="1"/>
    <col min="6407" max="6407" width="8" style="109" bestFit="1" customWidth="1"/>
    <col min="6408" max="6408" width="5.33203125" style="109" customWidth="1"/>
    <col min="6409" max="6409" width="8" style="109" bestFit="1" customWidth="1"/>
    <col min="6410" max="6410" width="8.44140625" style="109" customWidth="1"/>
    <col min="6411" max="6411" width="20.109375" style="109" customWidth="1"/>
    <col min="6412" max="6412" width="5.6640625" style="109" bestFit="1" customWidth="1"/>
    <col min="6413" max="6656" width="9.109375" style="109"/>
    <col min="6657" max="6657" width="6.33203125" style="109" customWidth="1"/>
    <col min="6658" max="6658" width="6.5546875" style="109" bestFit="1" customWidth="1"/>
    <col min="6659" max="6659" width="9" style="109" customWidth="1"/>
    <col min="6660" max="6660" width="9.33203125" style="109" customWidth="1"/>
    <col min="6661" max="6661" width="8.5546875" style="109" customWidth="1"/>
    <col min="6662" max="6662" width="11.109375" style="109" customWidth="1"/>
    <col min="6663" max="6663" width="8" style="109" bestFit="1" customWidth="1"/>
    <col min="6664" max="6664" width="5.33203125" style="109" customWidth="1"/>
    <col min="6665" max="6665" width="8" style="109" bestFit="1" customWidth="1"/>
    <col min="6666" max="6666" width="8.44140625" style="109" customWidth="1"/>
    <col min="6667" max="6667" width="20.109375" style="109" customWidth="1"/>
    <col min="6668" max="6668" width="5.6640625" style="109" bestFit="1" customWidth="1"/>
    <col min="6669" max="6912" width="9.109375" style="109"/>
    <col min="6913" max="6913" width="6.33203125" style="109" customWidth="1"/>
    <col min="6914" max="6914" width="6.5546875" style="109" bestFit="1" customWidth="1"/>
    <col min="6915" max="6915" width="9" style="109" customWidth="1"/>
    <col min="6916" max="6916" width="9.33203125" style="109" customWidth="1"/>
    <col min="6917" max="6917" width="8.5546875" style="109" customWidth="1"/>
    <col min="6918" max="6918" width="11.109375" style="109" customWidth="1"/>
    <col min="6919" max="6919" width="8" style="109" bestFit="1" customWidth="1"/>
    <col min="6920" max="6920" width="5.33203125" style="109" customWidth="1"/>
    <col min="6921" max="6921" width="8" style="109" bestFit="1" customWidth="1"/>
    <col min="6922" max="6922" width="8.44140625" style="109" customWidth="1"/>
    <col min="6923" max="6923" width="20.109375" style="109" customWidth="1"/>
    <col min="6924" max="6924" width="5.6640625" style="109" bestFit="1" customWidth="1"/>
    <col min="6925" max="7168" width="9.109375" style="109"/>
    <col min="7169" max="7169" width="6.33203125" style="109" customWidth="1"/>
    <col min="7170" max="7170" width="6.5546875" style="109" bestFit="1" customWidth="1"/>
    <col min="7171" max="7171" width="9" style="109" customWidth="1"/>
    <col min="7172" max="7172" width="9.33203125" style="109" customWidth="1"/>
    <col min="7173" max="7173" width="8.5546875" style="109" customWidth="1"/>
    <col min="7174" max="7174" width="11.109375" style="109" customWidth="1"/>
    <col min="7175" max="7175" width="8" style="109" bestFit="1" customWidth="1"/>
    <col min="7176" max="7176" width="5.33203125" style="109" customWidth="1"/>
    <col min="7177" max="7177" width="8" style="109" bestFit="1" customWidth="1"/>
    <col min="7178" max="7178" width="8.44140625" style="109" customWidth="1"/>
    <col min="7179" max="7179" width="20.109375" style="109" customWidth="1"/>
    <col min="7180" max="7180" width="5.6640625" style="109" bestFit="1" customWidth="1"/>
    <col min="7181" max="7424" width="9.109375" style="109"/>
    <col min="7425" max="7425" width="6.33203125" style="109" customWidth="1"/>
    <col min="7426" max="7426" width="6.5546875" style="109" bestFit="1" customWidth="1"/>
    <col min="7427" max="7427" width="9" style="109" customWidth="1"/>
    <col min="7428" max="7428" width="9.33203125" style="109" customWidth="1"/>
    <col min="7429" max="7429" width="8.5546875" style="109" customWidth="1"/>
    <col min="7430" max="7430" width="11.109375" style="109" customWidth="1"/>
    <col min="7431" max="7431" width="8" style="109" bestFit="1" customWidth="1"/>
    <col min="7432" max="7432" width="5.33203125" style="109" customWidth="1"/>
    <col min="7433" max="7433" width="8" style="109" bestFit="1" customWidth="1"/>
    <col min="7434" max="7434" width="8.44140625" style="109" customWidth="1"/>
    <col min="7435" max="7435" width="20.109375" style="109" customWidth="1"/>
    <col min="7436" max="7436" width="5.6640625" style="109" bestFit="1" customWidth="1"/>
    <col min="7437" max="7680" width="9.109375" style="109"/>
    <col min="7681" max="7681" width="6.33203125" style="109" customWidth="1"/>
    <col min="7682" max="7682" width="6.5546875" style="109" bestFit="1" customWidth="1"/>
    <col min="7683" max="7683" width="9" style="109" customWidth="1"/>
    <col min="7684" max="7684" width="9.33203125" style="109" customWidth="1"/>
    <col min="7685" max="7685" width="8.5546875" style="109" customWidth="1"/>
    <col min="7686" max="7686" width="11.109375" style="109" customWidth="1"/>
    <col min="7687" max="7687" width="8" style="109" bestFit="1" customWidth="1"/>
    <col min="7688" max="7688" width="5.33203125" style="109" customWidth="1"/>
    <col min="7689" max="7689" width="8" style="109" bestFit="1" customWidth="1"/>
    <col min="7690" max="7690" width="8.44140625" style="109" customWidth="1"/>
    <col min="7691" max="7691" width="20.109375" style="109" customWidth="1"/>
    <col min="7692" max="7692" width="5.6640625" style="109" bestFit="1" customWidth="1"/>
    <col min="7693" max="7936" width="9.109375" style="109"/>
    <col min="7937" max="7937" width="6.33203125" style="109" customWidth="1"/>
    <col min="7938" max="7938" width="6.5546875" style="109" bestFit="1" customWidth="1"/>
    <col min="7939" max="7939" width="9" style="109" customWidth="1"/>
    <col min="7940" max="7940" width="9.33203125" style="109" customWidth="1"/>
    <col min="7941" max="7941" width="8.5546875" style="109" customWidth="1"/>
    <col min="7942" max="7942" width="11.109375" style="109" customWidth="1"/>
    <col min="7943" max="7943" width="8" style="109" bestFit="1" customWidth="1"/>
    <col min="7944" max="7944" width="5.33203125" style="109" customWidth="1"/>
    <col min="7945" max="7945" width="8" style="109" bestFit="1" customWidth="1"/>
    <col min="7946" max="7946" width="8.44140625" style="109" customWidth="1"/>
    <col min="7947" max="7947" width="20.109375" style="109" customWidth="1"/>
    <col min="7948" max="7948" width="5.6640625" style="109" bestFit="1" customWidth="1"/>
    <col min="7949" max="8192" width="9.109375" style="109"/>
    <col min="8193" max="8193" width="6.33203125" style="109" customWidth="1"/>
    <col min="8194" max="8194" width="6.5546875" style="109" bestFit="1" customWidth="1"/>
    <col min="8195" max="8195" width="9" style="109" customWidth="1"/>
    <col min="8196" max="8196" width="9.33203125" style="109" customWidth="1"/>
    <col min="8197" max="8197" width="8.5546875" style="109" customWidth="1"/>
    <col min="8198" max="8198" width="11.109375" style="109" customWidth="1"/>
    <col min="8199" max="8199" width="8" style="109" bestFit="1" customWidth="1"/>
    <col min="8200" max="8200" width="5.33203125" style="109" customWidth="1"/>
    <col min="8201" max="8201" width="8" style="109" bestFit="1" customWidth="1"/>
    <col min="8202" max="8202" width="8.44140625" style="109" customWidth="1"/>
    <col min="8203" max="8203" width="20.109375" style="109" customWidth="1"/>
    <col min="8204" max="8204" width="5.6640625" style="109" bestFit="1" customWidth="1"/>
    <col min="8205" max="8448" width="9.109375" style="109"/>
    <col min="8449" max="8449" width="6.33203125" style="109" customWidth="1"/>
    <col min="8450" max="8450" width="6.5546875" style="109" bestFit="1" customWidth="1"/>
    <col min="8451" max="8451" width="9" style="109" customWidth="1"/>
    <col min="8452" max="8452" width="9.33203125" style="109" customWidth="1"/>
    <col min="8453" max="8453" width="8.5546875" style="109" customWidth="1"/>
    <col min="8454" max="8454" width="11.109375" style="109" customWidth="1"/>
    <col min="8455" max="8455" width="8" style="109" bestFit="1" customWidth="1"/>
    <col min="8456" max="8456" width="5.33203125" style="109" customWidth="1"/>
    <col min="8457" max="8457" width="8" style="109" bestFit="1" customWidth="1"/>
    <col min="8458" max="8458" width="8.44140625" style="109" customWidth="1"/>
    <col min="8459" max="8459" width="20.109375" style="109" customWidth="1"/>
    <col min="8460" max="8460" width="5.6640625" style="109" bestFit="1" customWidth="1"/>
    <col min="8461" max="8704" width="9.109375" style="109"/>
    <col min="8705" max="8705" width="6.33203125" style="109" customWidth="1"/>
    <col min="8706" max="8706" width="6.5546875" style="109" bestFit="1" customWidth="1"/>
    <col min="8707" max="8707" width="9" style="109" customWidth="1"/>
    <col min="8708" max="8708" width="9.33203125" style="109" customWidth="1"/>
    <col min="8709" max="8709" width="8.5546875" style="109" customWidth="1"/>
    <col min="8710" max="8710" width="11.109375" style="109" customWidth="1"/>
    <col min="8711" max="8711" width="8" style="109" bestFit="1" customWidth="1"/>
    <col min="8712" max="8712" width="5.33203125" style="109" customWidth="1"/>
    <col min="8713" max="8713" width="8" style="109" bestFit="1" customWidth="1"/>
    <col min="8714" max="8714" width="8.44140625" style="109" customWidth="1"/>
    <col min="8715" max="8715" width="20.109375" style="109" customWidth="1"/>
    <col min="8716" max="8716" width="5.6640625" style="109" bestFit="1" customWidth="1"/>
    <col min="8717" max="8960" width="9.109375" style="109"/>
    <col min="8961" max="8961" width="6.33203125" style="109" customWidth="1"/>
    <col min="8962" max="8962" width="6.5546875" style="109" bestFit="1" customWidth="1"/>
    <col min="8963" max="8963" width="9" style="109" customWidth="1"/>
    <col min="8964" max="8964" width="9.33203125" style="109" customWidth="1"/>
    <col min="8965" max="8965" width="8.5546875" style="109" customWidth="1"/>
    <col min="8966" max="8966" width="11.109375" style="109" customWidth="1"/>
    <col min="8967" max="8967" width="8" style="109" bestFit="1" customWidth="1"/>
    <col min="8968" max="8968" width="5.33203125" style="109" customWidth="1"/>
    <col min="8969" max="8969" width="8" style="109" bestFit="1" customWidth="1"/>
    <col min="8970" max="8970" width="8.44140625" style="109" customWidth="1"/>
    <col min="8971" max="8971" width="20.109375" style="109" customWidth="1"/>
    <col min="8972" max="8972" width="5.6640625" style="109" bestFit="1" customWidth="1"/>
    <col min="8973" max="9216" width="9.109375" style="109"/>
    <col min="9217" max="9217" width="6.33203125" style="109" customWidth="1"/>
    <col min="9218" max="9218" width="6.5546875" style="109" bestFit="1" customWidth="1"/>
    <col min="9219" max="9219" width="9" style="109" customWidth="1"/>
    <col min="9220" max="9220" width="9.33203125" style="109" customWidth="1"/>
    <col min="9221" max="9221" width="8.5546875" style="109" customWidth="1"/>
    <col min="9222" max="9222" width="11.109375" style="109" customWidth="1"/>
    <col min="9223" max="9223" width="8" style="109" bestFit="1" customWidth="1"/>
    <col min="9224" max="9224" width="5.33203125" style="109" customWidth="1"/>
    <col min="9225" max="9225" width="8" style="109" bestFit="1" customWidth="1"/>
    <col min="9226" max="9226" width="8.44140625" style="109" customWidth="1"/>
    <col min="9227" max="9227" width="20.109375" style="109" customWidth="1"/>
    <col min="9228" max="9228" width="5.6640625" style="109" bestFit="1" customWidth="1"/>
    <col min="9229" max="9472" width="9.109375" style="109"/>
    <col min="9473" max="9473" width="6.33203125" style="109" customWidth="1"/>
    <col min="9474" max="9474" width="6.5546875" style="109" bestFit="1" customWidth="1"/>
    <col min="9475" max="9475" width="9" style="109" customWidth="1"/>
    <col min="9476" max="9476" width="9.33203125" style="109" customWidth="1"/>
    <col min="9477" max="9477" width="8.5546875" style="109" customWidth="1"/>
    <col min="9478" max="9478" width="11.109375" style="109" customWidth="1"/>
    <col min="9479" max="9479" width="8" style="109" bestFit="1" customWidth="1"/>
    <col min="9480" max="9480" width="5.33203125" style="109" customWidth="1"/>
    <col min="9481" max="9481" width="8" style="109" bestFit="1" customWidth="1"/>
    <col min="9482" max="9482" width="8.44140625" style="109" customWidth="1"/>
    <col min="9483" max="9483" width="20.109375" style="109" customWidth="1"/>
    <col min="9484" max="9484" width="5.6640625" style="109" bestFit="1" customWidth="1"/>
    <col min="9485" max="9728" width="9.109375" style="109"/>
    <col min="9729" max="9729" width="6.33203125" style="109" customWidth="1"/>
    <col min="9730" max="9730" width="6.5546875" style="109" bestFit="1" customWidth="1"/>
    <col min="9731" max="9731" width="9" style="109" customWidth="1"/>
    <col min="9732" max="9732" width="9.33203125" style="109" customWidth="1"/>
    <col min="9733" max="9733" width="8.5546875" style="109" customWidth="1"/>
    <col min="9734" max="9734" width="11.109375" style="109" customWidth="1"/>
    <col min="9735" max="9735" width="8" style="109" bestFit="1" customWidth="1"/>
    <col min="9736" max="9736" width="5.33203125" style="109" customWidth="1"/>
    <col min="9737" max="9737" width="8" style="109" bestFit="1" customWidth="1"/>
    <col min="9738" max="9738" width="8.44140625" style="109" customWidth="1"/>
    <col min="9739" max="9739" width="20.109375" style="109" customWidth="1"/>
    <col min="9740" max="9740" width="5.6640625" style="109" bestFit="1" customWidth="1"/>
    <col min="9741" max="9984" width="9.109375" style="109"/>
    <col min="9985" max="9985" width="6.33203125" style="109" customWidth="1"/>
    <col min="9986" max="9986" width="6.5546875" style="109" bestFit="1" customWidth="1"/>
    <col min="9987" max="9987" width="9" style="109" customWidth="1"/>
    <col min="9988" max="9988" width="9.33203125" style="109" customWidth="1"/>
    <col min="9989" max="9989" width="8.5546875" style="109" customWidth="1"/>
    <col min="9990" max="9990" width="11.109375" style="109" customWidth="1"/>
    <col min="9991" max="9991" width="8" style="109" bestFit="1" customWidth="1"/>
    <col min="9992" max="9992" width="5.33203125" style="109" customWidth="1"/>
    <col min="9993" max="9993" width="8" style="109" bestFit="1" customWidth="1"/>
    <col min="9994" max="9994" width="8.44140625" style="109" customWidth="1"/>
    <col min="9995" max="9995" width="20.109375" style="109" customWidth="1"/>
    <col min="9996" max="9996" width="5.6640625" style="109" bestFit="1" customWidth="1"/>
    <col min="9997" max="10240" width="9.109375" style="109"/>
    <col min="10241" max="10241" width="6.33203125" style="109" customWidth="1"/>
    <col min="10242" max="10242" width="6.5546875" style="109" bestFit="1" customWidth="1"/>
    <col min="10243" max="10243" width="9" style="109" customWidth="1"/>
    <col min="10244" max="10244" width="9.33203125" style="109" customWidth="1"/>
    <col min="10245" max="10245" width="8.5546875" style="109" customWidth="1"/>
    <col min="10246" max="10246" width="11.109375" style="109" customWidth="1"/>
    <col min="10247" max="10247" width="8" style="109" bestFit="1" customWidth="1"/>
    <col min="10248" max="10248" width="5.33203125" style="109" customWidth="1"/>
    <col min="10249" max="10249" width="8" style="109" bestFit="1" customWidth="1"/>
    <col min="10250" max="10250" width="8.44140625" style="109" customWidth="1"/>
    <col min="10251" max="10251" width="20.109375" style="109" customWidth="1"/>
    <col min="10252" max="10252" width="5.6640625" style="109" bestFit="1" customWidth="1"/>
    <col min="10253" max="10496" width="9.109375" style="109"/>
    <col min="10497" max="10497" width="6.33203125" style="109" customWidth="1"/>
    <col min="10498" max="10498" width="6.5546875" style="109" bestFit="1" customWidth="1"/>
    <col min="10499" max="10499" width="9" style="109" customWidth="1"/>
    <col min="10500" max="10500" width="9.33203125" style="109" customWidth="1"/>
    <col min="10501" max="10501" width="8.5546875" style="109" customWidth="1"/>
    <col min="10502" max="10502" width="11.109375" style="109" customWidth="1"/>
    <col min="10503" max="10503" width="8" style="109" bestFit="1" customWidth="1"/>
    <col min="10504" max="10504" width="5.33203125" style="109" customWidth="1"/>
    <col min="10505" max="10505" width="8" style="109" bestFit="1" customWidth="1"/>
    <col min="10506" max="10506" width="8.44140625" style="109" customWidth="1"/>
    <col min="10507" max="10507" width="20.109375" style="109" customWidth="1"/>
    <col min="10508" max="10508" width="5.6640625" style="109" bestFit="1" customWidth="1"/>
    <col min="10509" max="10752" width="9.109375" style="109"/>
    <col min="10753" max="10753" width="6.33203125" style="109" customWidth="1"/>
    <col min="10754" max="10754" width="6.5546875" style="109" bestFit="1" customWidth="1"/>
    <col min="10755" max="10755" width="9" style="109" customWidth="1"/>
    <col min="10756" max="10756" width="9.33203125" style="109" customWidth="1"/>
    <col min="10757" max="10757" width="8.5546875" style="109" customWidth="1"/>
    <col min="10758" max="10758" width="11.109375" style="109" customWidth="1"/>
    <col min="10759" max="10759" width="8" style="109" bestFit="1" customWidth="1"/>
    <col min="10760" max="10760" width="5.33203125" style="109" customWidth="1"/>
    <col min="10761" max="10761" width="8" style="109" bestFit="1" customWidth="1"/>
    <col min="10762" max="10762" width="8.44140625" style="109" customWidth="1"/>
    <col min="10763" max="10763" width="20.109375" style="109" customWidth="1"/>
    <col min="10764" max="10764" width="5.6640625" style="109" bestFit="1" customWidth="1"/>
    <col min="10765" max="11008" width="9.109375" style="109"/>
    <col min="11009" max="11009" width="6.33203125" style="109" customWidth="1"/>
    <col min="11010" max="11010" width="6.5546875" style="109" bestFit="1" customWidth="1"/>
    <col min="11011" max="11011" width="9" style="109" customWidth="1"/>
    <col min="11012" max="11012" width="9.33203125" style="109" customWidth="1"/>
    <col min="11013" max="11013" width="8.5546875" style="109" customWidth="1"/>
    <col min="11014" max="11014" width="11.109375" style="109" customWidth="1"/>
    <col min="11015" max="11015" width="8" style="109" bestFit="1" customWidth="1"/>
    <col min="11016" max="11016" width="5.33203125" style="109" customWidth="1"/>
    <col min="11017" max="11017" width="8" style="109" bestFit="1" customWidth="1"/>
    <col min="11018" max="11018" width="8.44140625" style="109" customWidth="1"/>
    <col min="11019" max="11019" width="20.109375" style="109" customWidth="1"/>
    <col min="11020" max="11020" width="5.6640625" style="109" bestFit="1" customWidth="1"/>
    <col min="11021" max="11264" width="9.109375" style="109"/>
    <col min="11265" max="11265" width="6.33203125" style="109" customWidth="1"/>
    <col min="11266" max="11266" width="6.5546875" style="109" bestFit="1" customWidth="1"/>
    <col min="11267" max="11267" width="9" style="109" customWidth="1"/>
    <col min="11268" max="11268" width="9.33203125" style="109" customWidth="1"/>
    <col min="11269" max="11269" width="8.5546875" style="109" customWidth="1"/>
    <col min="11270" max="11270" width="11.109375" style="109" customWidth="1"/>
    <col min="11271" max="11271" width="8" style="109" bestFit="1" customWidth="1"/>
    <col min="11272" max="11272" width="5.33203125" style="109" customWidth="1"/>
    <col min="11273" max="11273" width="8" style="109" bestFit="1" customWidth="1"/>
    <col min="11274" max="11274" width="8.44140625" style="109" customWidth="1"/>
    <col min="11275" max="11275" width="20.109375" style="109" customWidth="1"/>
    <col min="11276" max="11276" width="5.6640625" style="109" bestFit="1" customWidth="1"/>
    <col min="11277" max="11520" width="9.109375" style="109"/>
    <col min="11521" max="11521" width="6.33203125" style="109" customWidth="1"/>
    <col min="11522" max="11522" width="6.5546875" style="109" bestFit="1" customWidth="1"/>
    <col min="11523" max="11523" width="9" style="109" customWidth="1"/>
    <col min="11524" max="11524" width="9.33203125" style="109" customWidth="1"/>
    <col min="11525" max="11525" width="8.5546875" style="109" customWidth="1"/>
    <col min="11526" max="11526" width="11.109375" style="109" customWidth="1"/>
    <col min="11527" max="11527" width="8" style="109" bestFit="1" customWidth="1"/>
    <col min="11528" max="11528" width="5.33203125" style="109" customWidth="1"/>
    <col min="11529" max="11529" width="8" style="109" bestFit="1" customWidth="1"/>
    <col min="11530" max="11530" width="8.44140625" style="109" customWidth="1"/>
    <col min="11531" max="11531" width="20.109375" style="109" customWidth="1"/>
    <col min="11532" max="11532" width="5.6640625" style="109" bestFit="1" customWidth="1"/>
    <col min="11533" max="11776" width="9.109375" style="109"/>
    <col min="11777" max="11777" width="6.33203125" style="109" customWidth="1"/>
    <col min="11778" max="11778" width="6.5546875" style="109" bestFit="1" customWidth="1"/>
    <col min="11779" max="11779" width="9" style="109" customWidth="1"/>
    <col min="11780" max="11780" width="9.33203125" style="109" customWidth="1"/>
    <col min="11781" max="11781" width="8.5546875" style="109" customWidth="1"/>
    <col min="11782" max="11782" width="11.109375" style="109" customWidth="1"/>
    <col min="11783" max="11783" width="8" style="109" bestFit="1" customWidth="1"/>
    <col min="11784" max="11784" width="5.33203125" style="109" customWidth="1"/>
    <col min="11785" max="11785" width="8" style="109" bestFit="1" customWidth="1"/>
    <col min="11786" max="11786" width="8.44140625" style="109" customWidth="1"/>
    <col min="11787" max="11787" width="20.109375" style="109" customWidth="1"/>
    <col min="11788" max="11788" width="5.6640625" style="109" bestFit="1" customWidth="1"/>
    <col min="11789" max="12032" width="9.109375" style="109"/>
    <col min="12033" max="12033" width="6.33203125" style="109" customWidth="1"/>
    <col min="12034" max="12034" width="6.5546875" style="109" bestFit="1" customWidth="1"/>
    <col min="12035" max="12035" width="9" style="109" customWidth="1"/>
    <col min="12036" max="12036" width="9.33203125" style="109" customWidth="1"/>
    <col min="12037" max="12037" width="8.5546875" style="109" customWidth="1"/>
    <col min="12038" max="12038" width="11.109375" style="109" customWidth="1"/>
    <col min="12039" max="12039" width="8" style="109" bestFit="1" customWidth="1"/>
    <col min="12040" max="12040" width="5.33203125" style="109" customWidth="1"/>
    <col min="12041" max="12041" width="8" style="109" bestFit="1" customWidth="1"/>
    <col min="12042" max="12042" width="8.44140625" style="109" customWidth="1"/>
    <col min="12043" max="12043" width="20.109375" style="109" customWidth="1"/>
    <col min="12044" max="12044" width="5.6640625" style="109" bestFit="1" customWidth="1"/>
    <col min="12045" max="12288" width="9.109375" style="109"/>
    <col min="12289" max="12289" width="6.33203125" style="109" customWidth="1"/>
    <col min="12290" max="12290" width="6.5546875" style="109" bestFit="1" customWidth="1"/>
    <col min="12291" max="12291" width="9" style="109" customWidth="1"/>
    <col min="12292" max="12292" width="9.33203125" style="109" customWidth="1"/>
    <col min="12293" max="12293" width="8.5546875" style="109" customWidth="1"/>
    <col min="12294" max="12294" width="11.109375" style="109" customWidth="1"/>
    <col min="12295" max="12295" width="8" style="109" bestFit="1" customWidth="1"/>
    <col min="12296" max="12296" width="5.33203125" style="109" customWidth="1"/>
    <col min="12297" max="12297" width="8" style="109" bestFit="1" customWidth="1"/>
    <col min="12298" max="12298" width="8.44140625" style="109" customWidth="1"/>
    <col min="12299" max="12299" width="20.109375" style="109" customWidth="1"/>
    <col min="12300" max="12300" width="5.6640625" style="109" bestFit="1" customWidth="1"/>
    <col min="12301" max="12544" width="9.109375" style="109"/>
    <col min="12545" max="12545" width="6.33203125" style="109" customWidth="1"/>
    <col min="12546" max="12546" width="6.5546875" style="109" bestFit="1" customWidth="1"/>
    <col min="12547" max="12547" width="9" style="109" customWidth="1"/>
    <col min="12548" max="12548" width="9.33203125" style="109" customWidth="1"/>
    <col min="12549" max="12549" width="8.5546875" style="109" customWidth="1"/>
    <col min="12550" max="12550" width="11.109375" style="109" customWidth="1"/>
    <col min="12551" max="12551" width="8" style="109" bestFit="1" customWidth="1"/>
    <col min="12552" max="12552" width="5.33203125" style="109" customWidth="1"/>
    <col min="12553" max="12553" width="8" style="109" bestFit="1" customWidth="1"/>
    <col min="12554" max="12554" width="8.44140625" style="109" customWidth="1"/>
    <col min="12555" max="12555" width="20.109375" style="109" customWidth="1"/>
    <col min="12556" max="12556" width="5.6640625" style="109" bestFit="1" customWidth="1"/>
    <col min="12557" max="12800" width="9.109375" style="109"/>
    <col min="12801" max="12801" width="6.33203125" style="109" customWidth="1"/>
    <col min="12802" max="12802" width="6.5546875" style="109" bestFit="1" customWidth="1"/>
    <col min="12803" max="12803" width="9" style="109" customWidth="1"/>
    <col min="12804" max="12804" width="9.33203125" style="109" customWidth="1"/>
    <col min="12805" max="12805" width="8.5546875" style="109" customWidth="1"/>
    <col min="12806" max="12806" width="11.109375" style="109" customWidth="1"/>
    <col min="12807" max="12807" width="8" style="109" bestFit="1" customWidth="1"/>
    <col min="12808" max="12808" width="5.33203125" style="109" customWidth="1"/>
    <col min="12809" max="12809" width="8" style="109" bestFit="1" customWidth="1"/>
    <col min="12810" max="12810" width="8.44140625" style="109" customWidth="1"/>
    <col min="12811" max="12811" width="20.109375" style="109" customWidth="1"/>
    <col min="12812" max="12812" width="5.6640625" style="109" bestFit="1" customWidth="1"/>
    <col min="12813" max="13056" width="9.109375" style="109"/>
    <col min="13057" max="13057" width="6.33203125" style="109" customWidth="1"/>
    <col min="13058" max="13058" width="6.5546875" style="109" bestFit="1" customWidth="1"/>
    <col min="13059" max="13059" width="9" style="109" customWidth="1"/>
    <col min="13060" max="13060" width="9.33203125" style="109" customWidth="1"/>
    <col min="13061" max="13061" width="8.5546875" style="109" customWidth="1"/>
    <col min="13062" max="13062" width="11.109375" style="109" customWidth="1"/>
    <col min="13063" max="13063" width="8" style="109" bestFit="1" customWidth="1"/>
    <col min="13064" max="13064" width="5.33203125" style="109" customWidth="1"/>
    <col min="13065" max="13065" width="8" style="109" bestFit="1" customWidth="1"/>
    <col min="13066" max="13066" width="8.44140625" style="109" customWidth="1"/>
    <col min="13067" max="13067" width="20.109375" style="109" customWidth="1"/>
    <col min="13068" max="13068" width="5.6640625" style="109" bestFit="1" customWidth="1"/>
    <col min="13069" max="13312" width="9.109375" style="109"/>
    <col min="13313" max="13313" width="6.33203125" style="109" customWidth="1"/>
    <col min="13314" max="13314" width="6.5546875" style="109" bestFit="1" customWidth="1"/>
    <col min="13315" max="13315" width="9" style="109" customWidth="1"/>
    <col min="13316" max="13316" width="9.33203125" style="109" customWidth="1"/>
    <col min="13317" max="13317" width="8.5546875" style="109" customWidth="1"/>
    <col min="13318" max="13318" width="11.109375" style="109" customWidth="1"/>
    <col min="13319" max="13319" width="8" style="109" bestFit="1" customWidth="1"/>
    <col min="13320" max="13320" width="5.33203125" style="109" customWidth="1"/>
    <col min="13321" max="13321" width="8" style="109" bestFit="1" customWidth="1"/>
    <col min="13322" max="13322" width="8.44140625" style="109" customWidth="1"/>
    <col min="13323" max="13323" width="20.109375" style="109" customWidth="1"/>
    <col min="13324" max="13324" width="5.6640625" style="109" bestFit="1" customWidth="1"/>
    <col min="13325" max="13568" width="9.109375" style="109"/>
    <col min="13569" max="13569" width="6.33203125" style="109" customWidth="1"/>
    <col min="13570" max="13570" width="6.5546875" style="109" bestFit="1" customWidth="1"/>
    <col min="13571" max="13571" width="9" style="109" customWidth="1"/>
    <col min="13572" max="13572" width="9.33203125" style="109" customWidth="1"/>
    <col min="13573" max="13573" width="8.5546875" style="109" customWidth="1"/>
    <col min="13574" max="13574" width="11.109375" style="109" customWidth="1"/>
    <col min="13575" max="13575" width="8" style="109" bestFit="1" customWidth="1"/>
    <col min="13576" max="13576" width="5.33203125" style="109" customWidth="1"/>
    <col min="13577" max="13577" width="8" style="109" bestFit="1" customWidth="1"/>
    <col min="13578" max="13578" width="8.44140625" style="109" customWidth="1"/>
    <col min="13579" max="13579" width="20.109375" style="109" customWidth="1"/>
    <col min="13580" max="13580" width="5.6640625" style="109" bestFit="1" customWidth="1"/>
    <col min="13581" max="13824" width="9.109375" style="109"/>
    <col min="13825" max="13825" width="6.33203125" style="109" customWidth="1"/>
    <col min="13826" max="13826" width="6.5546875" style="109" bestFit="1" customWidth="1"/>
    <col min="13827" max="13827" width="9" style="109" customWidth="1"/>
    <col min="13828" max="13828" width="9.33203125" style="109" customWidth="1"/>
    <col min="13829" max="13829" width="8.5546875" style="109" customWidth="1"/>
    <col min="13830" max="13830" width="11.109375" style="109" customWidth="1"/>
    <col min="13831" max="13831" width="8" style="109" bestFit="1" customWidth="1"/>
    <col min="13832" max="13832" width="5.33203125" style="109" customWidth="1"/>
    <col min="13833" max="13833" width="8" style="109" bestFit="1" customWidth="1"/>
    <col min="13834" max="13834" width="8.44140625" style="109" customWidth="1"/>
    <col min="13835" max="13835" width="20.109375" style="109" customWidth="1"/>
    <col min="13836" max="13836" width="5.6640625" style="109" bestFit="1" customWidth="1"/>
    <col min="13837" max="14080" width="9.109375" style="109"/>
    <col min="14081" max="14081" width="6.33203125" style="109" customWidth="1"/>
    <col min="14082" max="14082" width="6.5546875" style="109" bestFit="1" customWidth="1"/>
    <col min="14083" max="14083" width="9" style="109" customWidth="1"/>
    <col min="14084" max="14084" width="9.33203125" style="109" customWidth="1"/>
    <col min="14085" max="14085" width="8.5546875" style="109" customWidth="1"/>
    <col min="14086" max="14086" width="11.109375" style="109" customWidth="1"/>
    <col min="14087" max="14087" width="8" style="109" bestFit="1" customWidth="1"/>
    <col min="14088" max="14088" width="5.33203125" style="109" customWidth="1"/>
    <col min="14089" max="14089" width="8" style="109" bestFit="1" customWidth="1"/>
    <col min="14090" max="14090" width="8.44140625" style="109" customWidth="1"/>
    <col min="14091" max="14091" width="20.109375" style="109" customWidth="1"/>
    <col min="14092" max="14092" width="5.6640625" style="109" bestFit="1" customWidth="1"/>
    <col min="14093" max="14336" width="9.109375" style="109"/>
    <col min="14337" max="14337" width="6.33203125" style="109" customWidth="1"/>
    <col min="14338" max="14338" width="6.5546875" style="109" bestFit="1" customWidth="1"/>
    <col min="14339" max="14339" width="9" style="109" customWidth="1"/>
    <col min="14340" max="14340" width="9.33203125" style="109" customWidth="1"/>
    <col min="14341" max="14341" width="8.5546875" style="109" customWidth="1"/>
    <col min="14342" max="14342" width="11.109375" style="109" customWidth="1"/>
    <col min="14343" max="14343" width="8" style="109" bestFit="1" customWidth="1"/>
    <col min="14344" max="14344" width="5.33203125" style="109" customWidth="1"/>
    <col min="14345" max="14345" width="8" style="109" bestFit="1" customWidth="1"/>
    <col min="14346" max="14346" width="8.44140625" style="109" customWidth="1"/>
    <col min="14347" max="14347" width="20.109375" style="109" customWidth="1"/>
    <col min="14348" max="14348" width="5.6640625" style="109" bestFit="1" customWidth="1"/>
    <col min="14349" max="14592" width="9.109375" style="109"/>
    <col min="14593" max="14593" width="6.33203125" style="109" customWidth="1"/>
    <col min="14594" max="14594" width="6.5546875" style="109" bestFit="1" customWidth="1"/>
    <col min="14595" max="14595" width="9" style="109" customWidth="1"/>
    <col min="14596" max="14596" width="9.33203125" style="109" customWidth="1"/>
    <col min="14597" max="14597" width="8.5546875" style="109" customWidth="1"/>
    <col min="14598" max="14598" width="11.109375" style="109" customWidth="1"/>
    <col min="14599" max="14599" width="8" style="109" bestFit="1" customWidth="1"/>
    <col min="14600" max="14600" width="5.33203125" style="109" customWidth="1"/>
    <col min="14601" max="14601" width="8" style="109" bestFit="1" customWidth="1"/>
    <col min="14602" max="14602" width="8.44140625" style="109" customWidth="1"/>
    <col min="14603" max="14603" width="20.109375" style="109" customWidth="1"/>
    <col min="14604" max="14604" width="5.6640625" style="109" bestFit="1" customWidth="1"/>
    <col min="14605" max="14848" width="9.109375" style="109"/>
    <col min="14849" max="14849" width="6.33203125" style="109" customWidth="1"/>
    <col min="14850" max="14850" width="6.5546875" style="109" bestFit="1" customWidth="1"/>
    <col min="14851" max="14851" width="9" style="109" customWidth="1"/>
    <col min="14852" max="14852" width="9.33203125" style="109" customWidth="1"/>
    <col min="14853" max="14853" width="8.5546875" style="109" customWidth="1"/>
    <col min="14854" max="14854" width="11.109375" style="109" customWidth="1"/>
    <col min="14855" max="14855" width="8" style="109" bestFit="1" customWidth="1"/>
    <col min="14856" max="14856" width="5.33203125" style="109" customWidth="1"/>
    <col min="14857" max="14857" width="8" style="109" bestFit="1" customWidth="1"/>
    <col min="14858" max="14858" width="8.44140625" style="109" customWidth="1"/>
    <col min="14859" max="14859" width="20.109375" style="109" customWidth="1"/>
    <col min="14860" max="14860" width="5.6640625" style="109" bestFit="1" customWidth="1"/>
    <col min="14861" max="15104" width="9.109375" style="109"/>
    <col min="15105" max="15105" width="6.33203125" style="109" customWidth="1"/>
    <col min="15106" max="15106" width="6.5546875" style="109" bestFit="1" customWidth="1"/>
    <col min="15107" max="15107" width="9" style="109" customWidth="1"/>
    <col min="15108" max="15108" width="9.33203125" style="109" customWidth="1"/>
    <col min="15109" max="15109" width="8.5546875" style="109" customWidth="1"/>
    <col min="15110" max="15110" width="11.109375" style="109" customWidth="1"/>
    <col min="15111" max="15111" width="8" style="109" bestFit="1" customWidth="1"/>
    <col min="15112" max="15112" width="5.33203125" style="109" customWidth="1"/>
    <col min="15113" max="15113" width="8" style="109" bestFit="1" customWidth="1"/>
    <col min="15114" max="15114" width="8.44140625" style="109" customWidth="1"/>
    <col min="15115" max="15115" width="20.109375" style="109" customWidth="1"/>
    <col min="15116" max="15116" width="5.6640625" style="109" bestFit="1" customWidth="1"/>
    <col min="15117" max="15360" width="9.109375" style="109"/>
    <col min="15361" max="15361" width="6.33203125" style="109" customWidth="1"/>
    <col min="15362" max="15362" width="6.5546875" style="109" bestFit="1" customWidth="1"/>
    <col min="15363" max="15363" width="9" style="109" customWidth="1"/>
    <col min="15364" max="15364" width="9.33203125" style="109" customWidth="1"/>
    <col min="15365" max="15365" width="8.5546875" style="109" customWidth="1"/>
    <col min="15366" max="15366" width="11.109375" style="109" customWidth="1"/>
    <col min="15367" max="15367" width="8" style="109" bestFit="1" customWidth="1"/>
    <col min="15368" max="15368" width="5.33203125" style="109" customWidth="1"/>
    <col min="15369" max="15369" width="8" style="109" bestFit="1" customWidth="1"/>
    <col min="15370" max="15370" width="8.44140625" style="109" customWidth="1"/>
    <col min="15371" max="15371" width="20.109375" style="109" customWidth="1"/>
    <col min="15372" max="15372" width="5.6640625" style="109" bestFit="1" customWidth="1"/>
    <col min="15373" max="15616" width="9.109375" style="109"/>
    <col min="15617" max="15617" width="6.33203125" style="109" customWidth="1"/>
    <col min="15618" max="15618" width="6.5546875" style="109" bestFit="1" customWidth="1"/>
    <col min="15619" max="15619" width="9" style="109" customWidth="1"/>
    <col min="15620" max="15620" width="9.33203125" style="109" customWidth="1"/>
    <col min="15621" max="15621" width="8.5546875" style="109" customWidth="1"/>
    <col min="15622" max="15622" width="11.109375" style="109" customWidth="1"/>
    <col min="15623" max="15623" width="8" style="109" bestFit="1" customWidth="1"/>
    <col min="15624" max="15624" width="5.33203125" style="109" customWidth="1"/>
    <col min="15625" max="15625" width="8" style="109" bestFit="1" customWidth="1"/>
    <col min="15626" max="15626" width="8.44140625" style="109" customWidth="1"/>
    <col min="15627" max="15627" width="20.109375" style="109" customWidth="1"/>
    <col min="15628" max="15628" width="5.6640625" style="109" bestFit="1" customWidth="1"/>
    <col min="15629" max="15872" width="9.109375" style="109"/>
    <col min="15873" max="15873" width="6.33203125" style="109" customWidth="1"/>
    <col min="15874" max="15874" width="6.5546875" style="109" bestFit="1" customWidth="1"/>
    <col min="15875" max="15875" width="9" style="109" customWidth="1"/>
    <col min="15876" max="15876" width="9.33203125" style="109" customWidth="1"/>
    <col min="15877" max="15877" width="8.5546875" style="109" customWidth="1"/>
    <col min="15878" max="15878" width="11.109375" style="109" customWidth="1"/>
    <col min="15879" max="15879" width="8" style="109" bestFit="1" customWidth="1"/>
    <col min="15880" max="15880" width="5.33203125" style="109" customWidth="1"/>
    <col min="15881" max="15881" width="8" style="109" bestFit="1" customWidth="1"/>
    <col min="15882" max="15882" width="8.44140625" style="109" customWidth="1"/>
    <col min="15883" max="15883" width="20.109375" style="109" customWidth="1"/>
    <col min="15884" max="15884" width="5.6640625" style="109" bestFit="1" customWidth="1"/>
    <col min="15885" max="16128" width="9.109375" style="109"/>
    <col min="16129" max="16129" width="6.33203125" style="109" customWidth="1"/>
    <col min="16130" max="16130" width="6.5546875" style="109" bestFit="1" customWidth="1"/>
    <col min="16131" max="16131" width="9" style="109" customWidth="1"/>
    <col min="16132" max="16132" width="9.33203125" style="109" customWidth="1"/>
    <col min="16133" max="16133" width="8.5546875" style="109" customWidth="1"/>
    <col min="16134" max="16134" width="11.109375" style="109" customWidth="1"/>
    <col min="16135" max="16135" width="8" style="109" bestFit="1" customWidth="1"/>
    <col min="16136" max="16136" width="5.33203125" style="109" customWidth="1"/>
    <col min="16137" max="16137" width="8" style="109" bestFit="1" customWidth="1"/>
    <col min="16138" max="16138" width="8.44140625" style="109" customWidth="1"/>
    <col min="16139" max="16139" width="20.109375" style="109" customWidth="1"/>
    <col min="16140" max="16140" width="5.6640625" style="109" bestFit="1" customWidth="1"/>
    <col min="16141" max="16384" width="9.109375" style="109"/>
  </cols>
  <sheetData>
    <row r="1" spans="1:226" ht="3" customHeight="1" thickBot="1"/>
    <row r="2" spans="1:226" ht="25.5" customHeight="1">
      <c r="A2" s="110"/>
      <c r="B2" s="111"/>
      <c r="C2" s="776" t="s">
        <v>230</v>
      </c>
      <c r="D2" s="776"/>
      <c r="E2" s="776"/>
      <c r="F2" s="776"/>
      <c r="G2" s="776"/>
      <c r="H2" s="776"/>
      <c r="I2" s="776"/>
      <c r="J2" s="776"/>
      <c r="K2" s="777"/>
    </row>
    <row r="3" spans="1:226" ht="25.5" customHeight="1" thickBot="1">
      <c r="A3" s="112"/>
      <c r="B3" s="113"/>
      <c r="C3" s="778" t="s">
        <v>231</v>
      </c>
      <c r="D3" s="778"/>
      <c r="E3" s="778"/>
      <c r="F3" s="778"/>
      <c r="G3" s="778"/>
      <c r="H3" s="778"/>
      <c r="I3" s="778"/>
      <c r="J3" s="778"/>
      <c r="K3" s="779"/>
    </row>
    <row r="4" spans="1:226" ht="4.5" customHeight="1" thickBot="1">
      <c r="A4" s="114"/>
      <c r="B4" s="115"/>
      <c r="C4" s="115"/>
      <c r="D4" s="115"/>
      <c r="E4" s="115"/>
      <c r="F4" s="116"/>
      <c r="G4" s="116"/>
      <c r="H4" s="116"/>
      <c r="I4" s="116"/>
      <c r="J4" s="116"/>
      <c r="K4" s="116"/>
    </row>
    <row r="5" spans="1:226" s="118" customFormat="1" ht="12.75" customHeight="1">
      <c r="A5" s="780" t="s">
        <v>320</v>
      </c>
      <c r="B5" s="781"/>
      <c r="C5" s="781"/>
      <c r="D5" s="781"/>
      <c r="E5" s="782" t="s">
        <v>134</v>
      </c>
      <c r="F5" s="783"/>
      <c r="G5" s="784"/>
      <c r="H5" s="783" t="s">
        <v>203</v>
      </c>
      <c r="I5" s="783"/>
      <c r="J5" s="783"/>
      <c r="K5" s="785"/>
      <c r="L5" s="117"/>
      <c r="M5" s="117"/>
      <c r="N5" s="117"/>
    </row>
    <row r="6" spans="1:226" s="118" customFormat="1" ht="12.75" customHeight="1" thickBot="1">
      <c r="A6" s="764" t="s">
        <v>321</v>
      </c>
      <c r="B6" s="765"/>
      <c r="C6" s="765"/>
      <c r="D6" s="765"/>
      <c r="E6" s="766" t="s">
        <v>135</v>
      </c>
      <c r="F6" s="767"/>
      <c r="G6" s="768"/>
      <c r="H6" s="769" t="e">
        <f>#REF!</f>
        <v>#REF!</v>
      </c>
      <c r="I6" s="769"/>
      <c r="J6" s="769"/>
      <c r="K6" s="119" t="s">
        <v>52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/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/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  <c r="GE6" s="117"/>
      <c r="GF6" s="117"/>
      <c r="GG6" s="117"/>
      <c r="GH6" s="117"/>
      <c r="GI6" s="117"/>
      <c r="GJ6" s="117"/>
      <c r="GK6" s="117"/>
      <c r="GL6" s="117"/>
      <c r="GM6" s="117"/>
      <c r="GN6" s="117"/>
      <c r="GO6" s="117"/>
      <c r="GP6" s="117"/>
      <c r="GQ6" s="117"/>
      <c r="GR6" s="117"/>
      <c r="GS6" s="117"/>
      <c r="GT6" s="117"/>
      <c r="GU6" s="117"/>
      <c r="GV6" s="117"/>
      <c r="GW6" s="117"/>
      <c r="GX6" s="117"/>
      <c r="GY6" s="117"/>
      <c r="GZ6" s="117"/>
      <c r="HA6" s="117"/>
      <c r="HB6" s="117"/>
      <c r="HC6" s="117"/>
      <c r="HD6" s="117"/>
      <c r="HE6" s="117"/>
      <c r="HF6" s="117"/>
      <c r="HG6" s="117"/>
      <c r="HH6" s="117"/>
      <c r="HI6" s="117"/>
      <c r="HJ6" s="117"/>
      <c r="HK6" s="117"/>
      <c r="HL6" s="117"/>
      <c r="HM6" s="117"/>
      <c r="HN6" s="117"/>
      <c r="HO6" s="117"/>
      <c r="HP6" s="117"/>
      <c r="HQ6" s="117"/>
      <c r="HR6" s="117"/>
    </row>
    <row r="7" spans="1:226" s="121" customFormat="1" ht="4.5" customHeight="1" thickBot="1">
      <c r="A7" s="114"/>
      <c r="B7" s="115"/>
      <c r="C7" s="115"/>
      <c r="D7" s="115"/>
      <c r="E7" s="115"/>
      <c r="F7" s="116"/>
      <c r="G7" s="116"/>
      <c r="H7" s="116"/>
      <c r="I7" s="116"/>
      <c r="J7" s="116"/>
      <c r="K7" s="116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  <c r="FQ7" s="120"/>
      <c r="FR7" s="120"/>
      <c r="FS7" s="120"/>
      <c r="FT7" s="120"/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0"/>
      <c r="GL7" s="120"/>
      <c r="GM7" s="120"/>
      <c r="GN7" s="120"/>
      <c r="GO7" s="120"/>
      <c r="GP7" s="120"/>
      <c r="GQ7" s="120"/>
      <c r="GR7" s="120"/>
      <c r="GS7" s="120"/>
      <c r="GT7" s="120"/>
      <c r="GU7" s="120"/>
      <c r="GV7" s="120"/>
      <c r="GW7" s="120"/>
      <c r="GX7" s="120"/>
      <c r="GY7" s="120"/>
      <c r="GZ7" s="120"/>
      <c r="HA7" s="120"/>
      <c r="HB7" s="120"/>
      <c r="HC7" s="120"/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</row>
    <row r="8" spans="1:226" s="122" customFormat="1" ht="13.5" customHeight="1">
      <c r="A8" s="770" t="s">
        <v>204</v>
      </c>
      <c r="B8" s="771"/>
      <c r="C8" s="771"/>
      <c r="D8" s="771"/>
      <c r="E8" s="771"/>
      <c r="F8" s="771"/>
      <c r="G8" s="771"/>
      <c r="H8" s="771"/>
      <c r="I8" s="771"/>
      <c r="J8" s="771"/>
      <c r="K8" s="772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120"/>
      <c r="CR8" s="120"/>
      <c r="CS8" s="120"/>
      <c r="CT8" s="120"/>
      <c r="CU8" s="120"/>
      <c r="CV8" s="120"/>
      <c r="CW8" s="120"/>
      <c r="CX8" s="120"/>
      <c r="CY8" s="120"/>
      <c r="CZ8" s="120"/>
      <c r="DA8" s="120"/>
      <c r="DB8" s="120"/>
      <c r="DC8" s="120"/>
      <c r="DD8" s="120"/>
      <c r="DE8" s="120"/>
      <c r="DF8" s="120"/>
      <c r="DG8" s="120"/>
      <c r="DH8" s="120"/>
      <c r="DI8" s="120"/>
      <c r="DJ8" s="120"/>
      <c r="DK8" s="120"/>
      <c r="DL8" s="120"/>
      <c r="DM8" s="120"/>
      <c r="DN8" s="120"/>
      <c r="DO8" s="120"/>
      <c r="DP8" s="120"/>
      <c r="DQ8" s="120"/>
      <c r="DR8" s="120"/>
      <c r="DS8" s="120"/>
      <c r="DT8" s="120"/>
      <c r="DU8" s="120"/>
      <c r="DV8" s="120"/>
      <c r="DW8" s="120"/>
      <c r="DX8" s="120"/>
      <c r="DY8" s="120"/>
      <c r="DZ8" s="120"/>
      <c r="EA8" s="120"/>
      <c r="EB8" s="120"/>
      <c r="EC8" s="120"/>
      <c r="ED8" s="120"/>
      <c r="EE8" s="120"/>
      <c r="EF8" s="120"/>
      <c r="EG8" s="120"/>
      <c r="EH8" s="120"/>
      <c r="EI8" s="120"/>
      <c r="EJ8" s="120"/>
      <c r="EK8" s="120"/>
      <c r="EL8" s="120"/>
      <c r="EM8" s="120"/>
      <c r="EN8" s="120"/>
      <c r="EO8" s="120"/>
      <c r="EP8" s="120"/>
      <c r="EQ8" s="120"/>
      <c r="ER8" s="120"/>
      <c r="ES8" s="120"/>
      <c r="ET8" s="120"/>
      <c r="EU8" s="120"/>
      <c r="EV8" s="120"/>
      <c r="EW8" s="120"/>
      <c r="EX8" s="120"/>
      <c r="EY8" s="120"/>
      <c r="EZ8" s="120"/>
      <c r="FA8" s="120"/>
      <c r="FB8" s="120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  <c r="FQ8" s="120"/>
      <c r="FR8" s="120"/>
      <c r="FS8" s="120"/>
      <c r="FT8" s="120"/>
      <c r="FU8" s="120"/>
      <c r="FV8" s="120"/>
      <c r="FW8" s="120"/>
      <c r="FX8" s="120"/>
      <c r="FY8" s="120"/>
      <c r="FZ8" s="120"/>
      <c r="GA8" s="120"/>
      <c r="GB8" s="120"/>
      <c r="GC8" s="120"/>
      <c r="GD8" s="120"/>
      <c r="GE8" s="120"/>
      <c r="GF8" s="120"/>
      <c r="GG8" s="120"/>
      <c r="GH8" s="120"/>
      <c r="GI8" s="120"/>
      <c r="GJ8" s="120"/>
      <c r="GK8" s="120"/>
      <c r="GL8" s="120"/>
      <c r="GM8" s="120"/>
      <c r="GN8" s="120"/>
      <c r="GO8" s="120"/>
      <c r="GP8" s="120"/>
      <c r="GQ8" s="120"/>
      <c r="GR8" s="120"/>
      <c r="GS8" s="120"/>
      <c r="GT8" s="120"/>
      <c r="GU8" s="120"/>
      <c r="GV8" s="120"/>
      <c r="GW8" s="120"/>
      <c r="GX8" s="120"/>
      <c r="GY8" s="120"/>
      <c r="GZ8" s="120"/>
      <c r="HA8" s="120"/>
      <c r="HB8" s="120"/>
      <c r="HC8" s="120"/>
      <c r="HD8" s="120"/>
      <c r="HE8" s="120"/>
      <c r="HF8" s="120"/>
      <c r="HG8" s="120"/>
      <c r="HH8" s="120"/>
      <c r="HI8" s="120"/>
      <c r="HJ8" s="120"/>
      <c r="HK8" s="120"/>
      <c r="HL8" s="120"/>
      <c r="HM8" s="120"/>
      <c r="HN8" s="120"/>
      <c r="HO8" s="120"/>
      <c r="HP8" s="120"/>
      <c r="HQ8" s="120"/>
      <c r="HR8" s="120"/>
    </row>
    <row r="9" spans="1:226" ht="13.5" customHeight="1">
      <c r="A9" s="123" t="s">
        <v>205</v>
      </c>
      <c r="B9" s="124" t="s">
        <v>206</v>
      </c>
      <c r="C9" s="124" t="s">
        <v>207</v>
      </c>
      <c r="D9" s="124" t="s">
        <v>208</v>
      </c>
      <c r="E9" s="124" t="s">
        <v>209</v>
      </c>
      <c r="F9" s="124" t="s">
        <v>210</v>
      </c>
      <c r="G9" s="124" t="s">
        <v>211</v>
      </c>
      <c r="H9" s="124" t="s">
        <v>53</v>
      </c>
      <c r="I9" s="124" t="s">
        <v>212</v>
      </c>
      <c r="J9" s="124" t="s">
        <v>213</v>
      </c>
      <c r="K9" s="125" t="s">
        <v>214</v>
      </c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0"/>
      <c r="DU9" s="120"/>
      <c r="DV9" s="120"/>
      <c r="DW9" s="120"/>
      <c r="DX9" s="120"/>
      <c r="DY9" s="120"/>
      <c r="DZ9" s="120"/>
      <c r="EA9" s="120"/>
      <c r="EB9" s="120"/>
      <c r="EC9" s="120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0"/>
      <c r="FV9" s="120"/>
      <c r="FW9" s="120"/>
      <c r="FX9" s="120"/>
      <c r="FY9" s="120"/>
      <c r="FZ9" s="120"/>
      <c r="GA9" s="120"/>
      <c r="GB9" s="120"/>
      <c r="GC9" s="120"/>
      <c r="GD9" s="120"/>
      <c r="GE9" s="120"/>
      <c r="GF9" s="120"/>
      <c r="GG9" s="120"/>
      <c r="GH9" s="120"/>
      <c r="GI9" s="120"/>
      <c r="GJ9" s="120"/>
      <c r="GK9" s="120"/>
      <c r="GL9" s="120"/>
      <c r="GM9" s="120"/>
      <c r="GN9" s="120"/>
      <c r="GO9" s="120"/>
      <c r="GP9" s="120"/>
      <c r="GQ9" s="120"/>
      <c r="GR9" s="120"/>
      <c r="GS9" s="120"/>
      <c r="GT9" s="120"/>
      <c r="GU9" s="120"/>
      <c r="GV9" s="120"/>
      <c r="GW9" s="120"/>
      <c r="GX9" s="120"/>
      <c r="GY9" s="120"/>
      <c r="GZ9" s="120"/>
      <c r="HA9" s="120"/>
      <c r="HB9" s="120"/>
      <c r="HC9" s="120"/>
      <c r="HD9" s="120"/>
      <c r="HE9" s="120"/>
      <c r="HF9" s="120"/>
      <c r="HG9" s="120"/>
      <c r="HH9" s="120"/>
      <c r="HI9" s="120"/>
      <c r="HJ9" s="120"/>
      <c r="HK9" s="120"/>
      <c r="HL9" s="120"/>
      <c r="HM9" s="120"/>
      <c r="HN9" s="120"/>
      <c r="HO9" s="120"/>
      <c r="HP9" s="120"/>
      <c r="HQ9" s="120"/>
      <c r="HR9" s="120"/>
    </row>
    <row r="10" spans="1:226" s="120" customFormat="1" ht="14.4" thickBot="1">
      <c r="A10" s="126">
        <v>1</v>
      </c>
      <c r="B10" s="127">
        <v>866</v>
      </c>
      <c r="C10" s="128">
        <f>BACIAS!G5</f>
        <v>0.264293</v>
      </c>
      <c r="D10" s="128">
        <v>16</v>
      </c>
      <c r="E10" s="128">
        <v>13.722</v>
      </c>
      <c r="F10" s="129">
        <f>(D10-E10)/(B10/1000)</f>
        <v>2.6304849884526567</v>
      </c>
      <c r="G10" s="130">
        <v>25</v>
      </c>
      <c r="H10" s="131">
        <f>57*(((B10/1000)^2/(F10))^0.385)</f>
        <v>35.160078728538743</v>
      </c>
      <c r="I10" s="128">
        <f>(3445.7*G10^0.138)/(H10+26)^1.012</f>
        <v>83.615642625866741</v>
      </c>
      <c r="J10" s="132">
        <v>0.25</v>
      </c>
      <c r="K10" s="133">
        <f>(J10*I10*C10)/3.6</f>
        <v>1.5346547942026527</v>
      </c>
    </row>
    <row r="11" spans="1:226" s="120" customFormat="1" ht="6" customHeight="1" thickBot="1">
      <c r="A11" s="134"/>
      <c r="B11" s="135"/>
      <c r="C11" s="135"/>
      <c r="D11" s="135"/>
      <c r="E11" s="135"/>
      <c r="F11" s="136"/>
      <c r="G11" s="137"/>
      <c r="H11" s="138"/>
      <c r="I11" s="139"/>
      <c r="J11" s="136"/>
      <c r="K11" s="140"/>
    </row>
    <row r="12" spans="1:226" s="120" customFormat="1" ht="14.4" thickBot="1">
      <c r="A12" s="773" t="s">
        <v>215</v>
      </c>
      <c r="B12" s="774"/>
      <c r="C12" s="774"/>
      <c r="D12" s="774"/>
      <c r="E12" s="774"/>
      <c r="F12" s="774"/>
      <c r="G12" s="774"/>
      <c r="H12" s="774"/>
      <c r="I12" s="774"/>
      <c r="J12" s="774"/>
      <c r="K12" s="775"/>
    </row>
    <row r="13" spans="1:226" s="120" customFormat="1" ht="12.75" customHeight="1">
      <c r="A13" s="789" t="s">
        <v>216</v>
      </c>
      <c r="B13" s="788"/>
      <c r="C13" s="788"/>
      <c r="D13" s="141" t="s">
        <v>206</v>
      </c>
      <c r="E13" s="788" t="s">
        <v>208</v>
      </c>
      <c r="F13" s="788"/>
      <c r="G13" s="788" t="s">
        <v>209</v>
      </c>
      <c r="H13" s="788"/>
      <c r="I13" s="788" t="s">
        <v>217</v>
      </c>
      <c r="J13" s="788"/>
      <c r="K13" s="142" t="s">
        <v>218</v>
      </c>
    </row>
    <row r="14" spans="1:226" s="120" customFormat="1" ht="14.4" thickBot="1">
      <c r="A14" s="126">
        <v>30</v>
      </c>
      <c r="B14" s="130" t="s">
        <v>57</v>
      </c>
      <c r="C14" s="131">
        <v>6</v>
      </c>
      <c r="D14" s="131">
        <v>13</v>
      </c>
      <c r="E14" s="786">
        <f>E10</f>
        <v>13.722</v>
      </c>
      <c r="F14" s="786"/>
      <c r="G14" s="786">
        <v>13.45</v>
      </c>
      <c r="H14" s="786"/>
      <c r="I14" s="787">
        <f>(E14-G14)/D14</f>
        <v>2.092307692307694E-2</v>
      </c>
      <c r="J14" s="787"/>
      <c r="K14" s="143" t="s">
        <v>322</v>
      </c>
      <c r="M14" s="144"/>
      <c r="N14" s="145"/>
    </row>
    <row r="15" spans="1:226" s="120" customFormat="1">
      <c r="A15" s="110"/>
      <c r="B15" s="111"/>
      <c r="C15" s="111"/>
      <c r="D15" s="111"/>
      <c r="E15" s="111"/>
      <c r="F15" s="146"/>
      <c r="G15" s="147"/>
      <c r="H15" s="148"/>
      <c r="I15" s="149"/>
      <c r="J15" s="146"/>
      <c r="K15" s="150" t="s">
        <v>219</v>
      </c>
    </row>
    <row r="16" spans="1:226" s="120" customFormat="1" ht="12.75" customHeight="1">
      <c r="A16" s="151"/>
      <c r="B16" s="152"/>
      <c r="C16" s="152"/>
      <c r="D16" s="152"/>
      <c r="E16" s="152"/>
      <c r="F16" s="153"/>
      <c r="G16" s="154"/>
      <c r="H16" s="155"/>
      <c r="I16" s="156"/>
      <c r="J16" s="153"/>
      <c r="K16" s="157"/>
    </row>
    <row r="17" spans="1:11" s="120" customFormat="1">
      <c r="A17" s="151"/>
      <c r="B17" s="152"/>
      <c r="C17" s="152"/>
      <c r="D17" s="152"/>
      <c r="E17" s="152"/>
      <c r="F17" s="153"/>
      <c r="G17" s="154"/>
      <c r="H17" s="155"/>
      <c r="I17" s="156"/>
      <c r="J17" s="153"/>
      <c r="K17" s="157"/>
    </row>
    <row r="18" spans="1:11" s="120" customFormat="1">
      <c r="A18" s="151"/>
      <c r="B18" s="152"/>
      <c r="C18" s="152"/>
      <c r="D18" s="152"/>
      <c r="E18" s="152"/>
      <c r="F18" s="153"/>
      <c r="G18" s="154"/>
      <c r="H18" s="155"/>
      <c r="I18" s="156"/>
      <c r="J18" s="153"/>
      <c r="K18" s="157"/>
    </row>
    <row r="19" spans="1:11" s="120" customFormat="1">
      <c r="A19" s="151"/>
      <c r="B19" s="152"/>
      <c r="C19" s="152"/>
      <c r="D19" s="152"/>
      <c r="E19" s="152"/>
      <c r="F19" s="153"/>
      <c r="G19" s="154"/>
      <c r="H19" s="155"/>
      <c r="I19" s="156"/>
      <c r="J19" s="153"/>
      <c r="K19" s="157"/>
    </row>
    <row r="20" spans="1:11" s="120" customFormat="1">
      <c r="A20" s="151"/>
      <c r="B20" s="152"/>
      <c r="C20" s="152"/>
      <c r="D20" s="152"/>
      <c r="E20" s="152"/>
      <c r="F20" s="153"/>
      <c r="G20" s="154"/>
      <c r="H20" s="155"/>
      <c r="I20" s="156"/>
      <c r="J20" s="153"/>
      <c r="K20" s="157"/>
    </row>
    <row r="21" spans="1:11" s="120" customFormat="1">
      <c r="A21" s="151"/>
      <c r="B21" s="152"/>
      <c r="C21" s="152"/>
      <c r="D21" s="152"/>
      <c r="E21" s="152"/>
      <c r="F21" s="153"/>
      <c r="G21" s="154"/>
      <c r="H21" s="155"/>
      <c r="I21" s="156"/>
      <c r="J21" s="153"/>
      <c r="K21" s="157"/>
    </row>
    <row r="22" spans="1:11" s="120" customFormat="1">
      <c r="A22" s="151"/>
      <c r="B22" s="152"/>
      <c r="C22" s="152"/>
      <c r="D22" s="152"/>
      <c r="E22" s="152"/>
      <c r="F22" s="153"/>
      <c r="G22" s="154"/>
      <c r="H22" s="155"/>
      <c r="I22" s="156"/>
      <c r="J22" s="153"/>
      <c r="K22" s="157"/>
    </row>
    <row r="23" spans="1:11" s="120" customFormat="1">
      <c r="A23" s="151"/>
      <c r="B23" s="152"/>
      <c r="C23" s="152"/>
      <c r="D23" s="152"/>
      <c r="E23" s="152"/>
      <c r="F23" s="153"/>
      <c r="G23" s="154"/>
      <c r="H23" s="155"/>
      <c r="I23" s="156"/>
      <c r="J23" s="153"/>
      <c r="K23" s="157"/>
    </row>
    <row r="24" spans="1:11" s="120" customFormat="1">
      <c r="A24" s="151"/>
      <c r="B24" s="152"/>
      <c r="C24" s="152"/>
      <c r="D24" s="152"/>
      <c r="E24" s="152"/>
      <c r="F24" s="153"/>
      <c r="G24" s="154"/>
      <c r="H24" s="155"/>
      <c r="I24" s="156"/>
      <c r="J24" s="153"/>
      <c r="K24" s="157"/>
    </row>
    <row r="25" spans="1:11" s="120" customFormat="1">
      <c r="A25" s="151"/>
      <c r="B25" s="152"/>
      <c r="C25" s="152"/>
      <c r="D25" s="152"/>
      <c r="E25" s="152"/>
      <c r="F25" s="153"/>
      <c r="G25" s="154"/>
      <c r="H25" s="155"/>
      <c r="I25" s="156"/>
      <c r="J25" s="153"/>
      <c r="K25" s="157"/>
    </row>
    <row r="26" spans="1:11" s="120" customFormat="1">
      <c r="A26" s="151"/>
      <c r="B26" s="152"/>
      <c r="C26" s="152"/>
      <c r="D26" s="152"/>
      <c r="E26" s="152"/>
      <c r="F26" s="153"/>
      <c r="G26" s="154"/>
      <c r="H26" s="155"/>
      <c r="I26" s="156"/>
      <c r="J26" s="153"/>
      <c r="K26" s="157"/>
    </row>
    <row r="27" spans="1:11" s="120" customFormat="1">
      <c r="A27" s="151"/>
      <c r="B27" s="152"/>
      <c r="C27" s="152"/>
      <c r="D27" s="152"/>
      <c r="E27" s="152"/>
      <c r="F27" s="153"/>
      <c r="G27" s="154"/>
      <c r="H27" s="155"/>
      <c r="I27" s="156"/>
      <c r="J27" s="153"/>
      <c r="K27" s="157"/>
    </row>
    <row r="28" spans="1:11" s="120" customFormat="1">
      <c r="A28" s="151"/>
      <c r="B28" s="152"/>
      <c r="C28" s="152"/>
      <c r="D28" s="152"/>
      <c r="E28" s="152"/>
      <c r="F28" s="153"/>
      <c r="G28" s="154"/>
      <c r="H28" s="155"/>
      <c r="I28" s="156"/>
      <c r="J28" s="153"/>
      <c r="K28" s="157"/>
    </row>
    <row r="29" spans="1:11" s="120" customFormat="1">
      <c r="A29" s="151"/>
      <c r="B29" s="152"/>
      <c r="C29" s="152"/>
      <c r="D29" s="152"/>
      <c r="E29" s="152"/>
      <c r="F29" s="153"/>
      <c r="G29" s="154"/>
      <c r="H29" s="155"/>
      <c r="I29" s="156"/>
      <c r="J29" s="153"/>
      <c r="K29" s="157"/>
    </row>
    <row r="30" spans="1:11" s="120" customFormat="1">
      <c r="A30" s="151"/>
      <c r="B30" s="152"/>
      <c r="C30" s="152"/>
      <c r="D30" s="152"/>
      <c r="E30" s="152"/>
      <c r="F30" s="153"/>
      <c r="G30" s="154"/>
      <c r="H30" s="155"/>
      <c r="I30" s="156"/>
      <c r="J30" s="153"/>
      <c r="K30" s="157"/>
    </row>
    <row r="31" spans="1:11" s="120" customFormat="1">
      <c r="A31" s="151"/>
      <c r="B31" s="152"/>
      <c r="C31" s="152"/>
      <c r="D31" s="152"/>
      <c r="E31" s="152"/>
      <c r="F31" s="153"/>
      <c r="G31" s="154"/>
      <c r="H31" s="155"/>
      <c r="I31" s="156"/>
      <c r="J31" s="153"/>
      <c r="K31" s="157"/>
    </row>
    <row r="32" spans="1:11" s="120" customFormat="1">
      <c r="A32" s="151"/>
      <c r="B32" s="152"/>
      <c r="C32" s="152"/>
      <c r="D32" s="152"/>
      <c r="E32" s="152"/>
      <c r="F32" s="153"/>
      <c r="G32" s="154"/>
      <c r="H32" s="155"/>
      <c r="I32" s="156"/>
      <c r="J32" s="153"/>
      <c r="K32" s="157"/>
    </row>
    <row r="33" spans="1:226" s="120" customFormat="1">
      <c r="A33" s="151"/>
      <c r="B33" s="152"/>
      <c r="C33" s="152"/>
      <c r="D33" s="152"/>
      <c r="E33" s="152"/>
      <c r="F33" s="153"/>
      <c r="G33" s="154"/>
      <c r="H33" s="155"/>
      <c r="I33" s="156"/>
      <c r="J33" s="153"/>
      <c r="K33" s="157"/>
    </row>
    <row r="34" spans="1:226" s="120" customFormat="1">
      <c r="A34" s="151"/>
      <c r="B34" s="152"/>
      <c r="C34" s="152"/>
      <c r="D34" s="152"/>
      <c r="E34" s="152"/>
      <c r="F34" s="153"/>
      <c r="G34" s="154"/>
      <c r="H34" s="155"/>
      <c r="I34" s="156"/>
      <c r="J34" s="153"/>
      <c r="K34" s="157"/>
    </row>
    <row r="35" spans="1:226" s="120" customFormat="1">
      <c r="A35" s="151"/>
      <c r="B35" s="152"/>
      <c r="C35" s="152"/>
      <c r="D35" s="152"/>
      <c r="E35" s="152"/>
      <c r="F35" s="153"/>
      <c r="G35" s="154"/>
      <c r="H35" s="155"/>
      <c r="I35" s="156"/>
      <c r="J35" s="153"/>
      <c r="K35" s="157"/>
    </row>
    <row r="36" spans="1:226" s="120" customFormat="1">
      <c r="A36" s="151"/>
      <c r="B36" s="152"/>
      <c r="C36" s="152"/>
      <c r="D36" s="152"/>
      <c r="E36" s="152"/>
      <c r="F36" s="153"/>
      <c r="G36" s="154"/>
      <c r="H36" s="155"/>
      <c r="I36" s="156"/>
      <c r="J36" s="153"/>
      <c r="K36" s="157"/>
    </row>
    <row r="37" spans="1:226" s="120" customFormat="1" ht="14.4" thickBot="1">
      <c r="A37" s="112"/>
      <c r="B37" s="113"/>
      <c r="C37" s="113"/>
      <c r="D37" s="113"/>
      <c r="E37" s="113"/>
      <c r="F37" s="158"/>
      <c r="G37" s="158"/>
      <c r="H37" s="158"/>
      <c r="I37" s="158"/>
      <c r="J37" s="159"/>
      <c r="K37" s="160"/>
    </row>
    <row r="38" spans="1:226" s="122" customFormat="1" ht="13.5" customHeight="1">
      <c r="A38" s="770" t="s">
        <v>204</v>
      </c>
      <c r="B38" s="771"/>
      <c r="C38" s="771"/>
      <c r="D38" s="771"/>
      <c r="E38" s="771"/>
      <c r="F38" s="771"/>
      <c r="G38" s="771"/>
      <c r="H38" s="771"/>
      <c r="I38" s="771"/>
      <c r="J38" s="771"/>
      <c r="K38" s="772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  <c r="DE38" s="120"/>
      <c r="DF38" s="120"/>
      <c r="DG38" s="120"/>
      <c r="DH38" s="120"/>
      <c r="DI38" s="120"/>
      <c r="DJ38" s="120"/>
      <c r="DK38" s="120"/>
      <c r="DL38" s="120"/>
      <c r="DM38" s="120"/>
      <c r="DN38" s="120"/>
      <c r="DO38" s="120"/>
      <c r="DP38" s="120"/>
      <c r="DQ38" s="120"/>
      <c r="DR38" s="120"/>
      <c r="DS38" s="120"/>
      <c r="DT38" s="120"/>
      <c r="DU38" s="120"/>
      <c r="DV38" s="120"/>
      <c r="DW38" s="120"/>
      <c r="DX38" s="120"/>
      <c r="DY38" s="120"/>
      <c r="DZ38" s="120"/>
      <c r="EA38" s="120"/>
      <c r="EB38" s="120"/>
      <c r="EC38" s="120"/>
      <c r="ED38" s="120"/>
      <c r="EE38" s="120"/>
      <c r="EF38" s="120"/>
      <c r="EG38" s="120"/>
      <c r="EH38" s="120"/>
      <c r="EI38" s="120"/>
      <c r="EJ38" s="120"/>
      <c r="EK38" s="120"/>
      <c r="EL38" s="120"/>
      <c r="EM38" s="120"/>
      <c r="EN38" s="120"/>
      <c r="EO38" s="120"/>
      <c r="EP38" s="120"/>
      <c r="EQ38" s="120"/>
      <c r="ER38" s="120"/>
      <c r="ES38" s="120"/>
      <c r="ET38" s="120"/>
      <c r="EU38" s="120"/>
      <c r="EV38" s="120"/>
      <c r="EW38" s="120"/>
      <c r="EX38" s="120"/>
      <c r="EY38" s="120"/>
      <c r="EZ38" s="120"/>
      <c r="FA38" s="120"/>
      <c r="FB38" s="120"/>
      <c r="FC38" s="120"/>
      <c r="FD38" s="120"/>
      <c r="FE38" s="120"/>
      <c r="FF38" s="120"/>
      <c r="FG38" s="120"/>
      <c r="FH38" s="120"/>
      <c r="FI38" s="120"/>
      <c r="FJ38" s="120"/>
      <c r="FK38" s="120"/>
      <c r="FL38" s="120"/>
      <c r="FM38" s="120"/>
      <c r="FN38" s="120"/>
      <c r="FO38" s="120"/>
      <c r="FP38" s="120"/>
      <c r="FQ38" s="120"/>
      <c r="FR38" s="120"/>
      <c r="FS38" s="120"/>
      <c r="FT38" s="120"/>
      <c r="FU38" s="120"/>
      <c r="FV38" s="120"/>
      <c r="FW38" s="120"/>
      <c r="FX38" s="120"/>
      <c r="FY38" s="120"/>
      <c r="FZ38" s="120"/>
      <c r="GA38" s="120"/>
      <c r="GB38" s="120"/>
      <c r="GC38" s="120"/>
      <c r="GD38" s="120"/>
      <c r="GE38" s="120"/>
      <c r="GF38" s="120"/>
      <c r="GG38" s="120"/>
      <c r="GH38" s="120"/>
      <c r="GI38" s="120"/>
      <c r="GJ38" s="120"/>
      <c r="GK38" s="120"/>
      <c r="GL38" s="120"/>
      <c r="GM38" s="120"/>
      <c r="GN38" s="120"/>
      <c r="GO38" s="120"/>
      <c r="GP38" s="120"/>
      <c r="GQ38" s="120"/>
      <c r="GR38" s="120"/>
      <c r="GS38" s="120"/>
      <c r="GT38" s="120"/>
      <c r="GU38" s="120"/>
      <c r="GV38" s="120"/>
      <c r="GW38" s="120"/>
      <c r="GX38" s="120"/>
      <c r="GY38" s="120"/>
      <c r="GZ38" s="120"/>
      <c r="HA38" s="120"/>
      <c r="HB38" s="120"/>
      <c r="HC38" s="120"/>
      <c r="HD38" s="120"/>
      <c r="HE38" s="120"/>
      <c r="HF38" s="120"/>
      <c r="HG38" s="120"/>
      <c r="HH38" s="120"/>
      <c r="HI38" s="120"/>
      <c r="HJ38" s="120"/>
      <c r="HK38" s="120"/>
      <c r="HL38" s="120"/>
      <c r="HM38" s="120"/>
      <c r="HN38" s="120"/>
      <c r="HO38" s="120"/>
      <c r="HP38" s="120"/>
      <c r="HQ38" s="120"/>
      <c r="HR38" s="120"/>
    </row>
    <row r="39" spans="1:226" ht="13.5" customHeight="1">
      <c r="A39" s="123" t="s">
        <v>205</v>
      </c>
      <c r="B39" s="124" t="s">
        <v>206</v>
      </c>
      <c r="C39" s="124" t="s">
        <v>207</v>
      </c>
      <c r="D39" s="124" t="s">
        <v>208</v>
      </c>
      <c r="E39" s="124" t="s">
        <v>209</v>
      </c>
      <c r="F39" s="124" t="s">
        <v>210</v>
      </c>
      <c r="G39" s="124" t="s">
        <v>211</v>
      </c>
      <c r="H39" s="124" t="s">
        <v>53</v>
      </c>
      <c r="I39" s="124" t="s">
        <v>212</v>
      </c>
      <c r="J39" s="124" t="s">
        <v>213</v>
      </c>
      <c r="K39" s="125" t="s">
        <v>214</v>
      </c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  <c r="DJ39" s="120"/>
      <c r="DK39" s="120"/>
      <c r="DL39" s="120"/>
      <c r="DM39" s="120"/>
      <c r="DN39" s="120"/>
      <c r="DO39" s="120"/>
      <c r="DP39" s="120"/>
      <c r="DQ39" s="120"/>
      <c r="DR39" s="120"/>
      <c r="DS39" s="120"/>
      <c r="DT39" s="120"/>
      <c r="DU39" s="120"/>
      <c r="DV39" s="120"/>
      <c r="DW39" s="120"/>
      <c r="DX39" s="120"/>
      <c r="DY39" s="120"/>
      <c r="DZ39" s="120"/>
      <c r="EA39" s="120"/>
      <c r="EB39" s="120"/>
      <c r="EC39" s="120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0"/>
      <c r="FV39" s="120"/>
      <c r="FW39" s="120"/>
      <c r="FX39" s="120"/>
      <c r="FY39" s="120"/>
      <c r="FZ39" s="120"/>
      <c r="GA39" s="120"/>
      <c r="GB39" s="120"/>
      <c r="GC39" s="120"/>
      <c r="GD39" s="120"/>
      <c r="GE39" s="120"/>
      <c r="GF39" s="120"/>
      <c r="GG39" s="120"/>
      <c r="GH39" s="120"/>
      <c r="GI39" s="120"/>
      <c r="GJ39" s="120"/>
      <c r="GK39" s="120"/>
      <c r="GL39" s="120"/>
      <c r="GM39" s="120"/>
      <c r="GN39" s="120"/>
      <c r="GO39" s="120"/>
      <c r="GP39" s="120"/>
      <c r="GQ39" s="120"/>
      <c r="GR39" s="120"/>
      <c r="GS39" s="120"/>
      <c r="GT39" s="120"/>
      <c r="GU39" s="120"/>
      <c r="GV39" s="120"/>
      <c r="GW39" s="120"/>
      <c r="GX39" s="120"/>
      <c r="GY39" s="120"/>
      <c r="GZ39" s="120"/>
      <c r="HA39" s="120"/>
      <c r="HB39" s="120"/>
      <c r="HC39" s="120"/>
      <c r="HD39" s="120"/>
      <c r="HE39" s="120"/>
      <c r="HF39" s="120"/>
      <c r="HG39" s="120"/>
      <c r="HH39" s="120"/>
      <c r="HI39" s="120"/>
      <c r="HJ39" s="120"/>
      <c r="HK39" s="120"/>
      <c r="HL39" s="120"/>
      <c r="HM39" s="120"/>
      <c r="HN39" s="120"/>
      <c r="HO39" s="120"/>
      <c r="HP39" s="120"/>
      <c r="HQ39" s="120"/>
      <c r="HR39" s="120"/>
    </row>
    <row r="40" spans="1:226" s="120" customFormat="1" ht="14.4" thickBot="1">
      <c r="A40" s="126">
        <v>2</v>
      </c>
      <c r="B40" s="127">
        <v>900</v>
      </c>
      <c r="C40" s="128">
        <f>BACIAS!G6</f>
        <v>0.17380799999999999</v>
      </c>
      <c r="D40" s="128">
        <v>15</v>
      </c>
      <c r="E40" s="128">
        <v>13.157999999999999</v>
      </c>
      <c r="F40" s="129">
        <f>(D40-E40)/(B40/1000)</f>
        <v>2.0466666666666673</v>
      </c>
      <c r="G40" s="130">
        <v>25</v>
      </c>
      <c r="H40" s="131">
        <f>57*(((B40/1000)^2/(F40))^0.385)</f>
        <v>39.892242290557796</v>
      </c>
      <c r="I40" s="128">
        <f>(3445.7*G40^0.138)/(H40+26)^1.012</f>
        <v>77.541265748726843</v>
      </c>
      <c r="J40" s="132">
        <v>0.25</v>
      </c>
      <c r="K40" s="133">
        <f>(J40*I40*C40)/3.6</f>
        <v>0.935923077587133</v>
      </c>
    </row>
    <row r="41" spans="1:226" s="120" customFormat="1" ht="6" customHeight="1" thickBot="1">
      <c r="A41" s="134"/>
      <c r="B41" s="135"/>
      <c r="C41" s="135"/>
      <c r="D41" s="135"/>
      <c r="E41" s="135"/>
      <c r="F41" s="136"/>
      <c r="G41" s="137"/>
      <c r="H41" s="138"/>
      <c r="I41" s="139"/>
      <c r="J41" s="136"/>
      <c r="K41" s="140"/>
    </row>
    <row r="42" spans="1:226" s="120" customFormat="1" ht="14.4" thickBot="1">
      <c r="A42" s="773" t="s">
        <v>215</v>
      </c>
      <c r="B42" s="774"/>
      <c r="C42" s="774"/>
      <c r="D42" s="774"/>
      <c r="E42" s="774"/>
      <c r="F42" s="774"/>
      <c r="G42" s="774"/>
      <c r="H42" s="774"/>
      <c r="I42" s="774"/>
      <c r="J42" s="774"/>
      <c r="K42" s="775"/>
    </row>
    <row r="43" spans="1:226" s="120" customFormat="1" ht="12.75" customHeight="1">
      <c r="A43" s="789" t="s">
        <v>216</v>
      </c>
      <c r="B43" s="788"/>
      <c r="C43" s="788"/>
      <c r="D43" s="141" t="s">
        <v>206</v>
      </c>
      <c r="E43" s="788" t="s">
        <v>208</v>
      </c>
      <c r="F43" s="788"/>
      <c r="G43" s="788" t="s">
        <v>209</v>
      </c>
      <c r="H43" s="788"/>
      <c r="I43" s="788" t="s">
        <v>217</v>
      </c>
      <c r="J43" s="788"/>
      <c r="K43" s="142" t="s">
        <v>218</v>
      </c>
    </row>
    <row r="44" spans="1:226" s="120" customFormat="1" ht="14.4" thickBot="1">
      <c r="A44" s="126">
        <v>50</v>
      </c>
      <c r="B44" s="130" t="s">
        <v>57</v>
      </c>
      <c r="C44" s="131">
        <v>0</v>
      </c>
      <c r="D44" s="131">
        <v>13</v>
      </c>
      <c r="E44" s="786">
        <f>E40</f>
        <v>13.157999999999999</v>
      </c>
      <c r="F44" s="786"/>
      <c r="G44" s="786">
        <v>12.898</v>
      </c>
      <c r="H44" s="786"/>
      <c r="I44" s="787">
        <f>(E44-G44)/D44</f>
        <v>1.9999999999999983E-2</v>
      </c>
      <c r="J44" s="787"/>
      <c r="K44" s="143" t="s">
        <v>322</v>
      </c>
      <c r="M44" s="144"/>
    </row>
    <row r="45" spans="1:226" s="120" customFormat="1">
      <c r="A45" s="151"/>
      <c r="B45" s="152"/>
      <c r="C45" s="152"/>
      <c r="D45" s="152"/>
      <c r="E45" s="152"/>
      <c r="F45" s="153"/>
      <c r="G45" s="154"/>
      <c r="H45" s="155"/>
      <c r="I45" s="156"/>
      <c r="J45" s="153"/>
      <c r="K45" s="150" t="s">
        <v>219</v>
      </c>
      <c r="N45" s="145"/>
    </row>
    <row r="46" spans="1:226" s="120" customFormat="1" ht="12.75" customHeight="1">
      <c r="A46" s="151"/>
      <c r="B46" s="152"/>
      <c r="C46" s="152"/>
      <c r="D46" s="152"/>
      <c r="E46" s="152"/>
      <c r="F46" s="153"/>
      <c r="G46" s="154"/>
      <c r="H46" s="155"/>
      <c r="I46" s="156"/>
      <c r="J46" s="153"/>
      <c r="K46" s="161"/>
    </row>
    <row r="47" spans="1:226" s="120" customFormat="1">
      <c r="A47" s="151"/>
      <c r="B47" s="152"/>
      <c r="C47" s="152"/>
      <c r="D47" s="152"/>
      <c r="E47" s="152"/>
      <c r="F47" s="153"/>
      <c r="G47" s="154"/>
      <c r="H47" s="155"/>
      <c r="I47" s="156"/>
      <c r="J47" s="153"/>
      <c r="K47" s="157"/>
    </row>
    <row r="48" spans="1:226" s="120" customFormat="1">
      <c r="A48" s="151"/>
      <c r="B48" s="152"/>
      <c r="C48" s="152"/>
      <c r="D48" s="152"/>
      <c r="E48" s="152"/>
      <c r="F48" s="153"/>
      <c r="G48" s="154"/>
      <c r="H48" s="155"/>
      <c r="I48" s="156"/>
      <c r="J48" s="153"/>
      <c r="K48" s="157"/>
    </row>
    <row r="49" spans="1:11" s="120" customFormat="1">
      <c r="A49" s="151"/>
      <c r="B49" s="152"/>
      <c r="C49" s="152"/>
      <c r="D49" s="152"/>
      <c r="E49" s="152"/>
      <c r="F49" s="153"/>
      <c r="G49" s="154"/>
      <c r="H49" s="155"/>
      <c r="I49" s="156"/>
      <c r="J49" s="153"/>
      <c r="K49" s="157"/>
    </row>
    <row r="50" spans="1:11" s="120" customFormat="1">
      <c r="A50" s="151"/>
      <c r="B50" s="152"/>
      <c r="C50" s="152"/>
      <c r="D50" s="152"/>
      <c r="E50" s="152"/>
      <c r="F50" s="153"/>
      <c r="G50" s="154"/>
      <c r="H50" s="155"/>
      <c r="I50" s="156"/>
      <c r="J50" s="153"/>
      <c r="K50" s="157"/>
    </row>
    <row r="51" spans="1:11" s="120" customFormat="1">
      <c r="A51" s="151"/>
      <c r="B51" s="152"/>
      <c r="C51" s="152"/>
      <c r="D51" s="152"/>
      <c r="E51" s="152"/>
      <c r="F51" s="153"/>
      <c r="G51" s="154"/>
      <c r="H51" s="155"/>
      <c r="I51" s="156"/>
      <c r="J51" s="153"/>
      <c r="K51" s="157"/>
    </row>
    <row r="52" spans="1:11" s="120" customFormat="1">
      <c r="A52" s="151"/>
      <c r="B52" s="152"/>
      <c r="C52" s="152"/>
      <c r="D52" s="152"/>
      <c r="E52" s="152"/>
      <c r="F52" s="153"/>
      <c r="G52" s="154"/>
      <c r="H52" s="155"/>
      <c r="I52" s="156"/>
      <c r="J52" s="153"/>
      <c r="K52" s="157"/>
    </row>
    <row r="53" spans="1:11" s="120" customFormat="1">
      <c r="A53" s="151"/>
      <c r="B53" s="152"/>
      <c r="C53" s="152"/>
      <c r="D53" s="152"/>
      <c r="E53" s="152"/>
      <c r="F53" s="153"/>
      <c r="G53" s="154"/>
      <c r="H53" s="155"/>
      <c r="I53" s="156"/>
      <c r="J53" s="153"/>
      <c r="K53" s="157"/>
    </row>
    <row r="54" spans="1:11" s="120" customFormat="1">
      <c r="A54" s="151"/>
      <c r="B54" s="152"/>
      <c r="C54" s="152"/>
      <c r="D54" s="152"/>
      <c r="E54" s="152"/>
      <c r="F54" s="153"/>
      <c r="G54" s="154"/>
      <c r="H54" s="155"/>
      <c r="I54" s="156"/>
      <c r="J54" s="153"/>
      <c r="K54" s="157"/>
    </row>
    <row r="55" spans="1:11" s="120" customFormat="1">
      <c r="A55" s="151"/>
      <c r="B55" s="152"/>
      <c r="C55" s="152"/>
      <c r="D55" s="152"/>
      <c r="E55" s="152"/>
      <c r="F55" s="153"/>
      <c r="G55" s="154"/>
      <c r="H55" s="155"/>
      <c r="I55" s="156"/>
      <c r="J55" s="153"/>
      <c r="K55" s="157"/>
    </row>
    <row r="56" spans="1:11" s="120" customFormat="1">
      <c r="A56" s="151"/>
      <c r="B56" s="152"/>
      <c r="C56" s="152"/>
      <c r="D56" s="152"/>
      <c r="E56" s="152"/>
      <c r="F56" s="153"/>
      <c r="G56" s="154"/>
      <c r="H56" s="155"/>
      <c r="I56" s="156"/>
      <c r="J56" s="153"/>
      <c r="K56" s="157"/>
    </row>
    <row r="57" spans="1:11" s="120" customFormat="1">
      <c r="A57" s="151"/>
      <c r="B57" s="152"/>
      <c r="C57" s="152"/>
      <c r="D57" s="152"/>
      <c r="E57" s="152"/>
      <c r="F57" s="153"/>
      <c r="G57" s="154"/>
      <c r="H57" s="155"/>
      <c r="I57" s="156"/>
      <c r="J57" s="153"/>
      <c r="K57" s="157"/>
    </row>
    <row r="58" spans="1:11" s="120" customFormat="1">
      <c r="A58" s="151"/>
      <c r="B58" s="152"/>
      <c r="C58" s="152"/>
      <c r="D58" s="152"/>
      <c r="E58" s="152"/>
      <c r="F58" s="153"/>
      <c r="G58" s="154"/>
      <c r="H58" s="155"/>
      <c r="I58" s="156"/>
      <c r="J58" s="153"/>
      <c r="K58" s="157"/>
    </row>
    <row r="59" spans="1:11" s="120" customFormat="1">
      <c r="A59" s="151"/>
      <c r="B59" s="152"/>
      <c r="C59" s="152"/>
      <c r="D59" s="152"/>
      <c r="E59" s="152"/>
      <c r="F59" s="153"/>
      <c r="G59" s="154"/>
      <c r="H59" s="155"/>
      <c r="I59" s="156"/>
      <c r="J59" s="153"/>
      <c r="K59" s="157"/>
    </row>
    <row r="60" spans="1:11" s="120" customFormat="1">
      <c r="A60" s="151"/>
      <c r="B60" s="152"/>
      <c r="C60" s="152"/>
      <c r="D60" s="152"/>
      <c r="E60" s="152"/>
      <c r="F60" s="153"/>
      <c r="G60" s="154"/>
      <c r="H60" s="155"/>
      <c r="I60" s="156"/>
      <c r="J60" s="153"/>
      <c r="K60" s="157"/>
    </row>
    <row r="61" spans="1:11" s="120" customFormat="1">
      <c r="A61" s="151"/>
      <c r="B61" s="152"/>
      <c r="C61" s="152"/>
      <c r="D61" s="152"/>
      <c r="E61" s="152"/>
      <c r="F61" s="153"/>
      <c r="G61" s="154"/>
      <c r="H61" s="155"/>
      <c r="I61" s="156"/>
      <c r="J61" s="153"/>
      <c r="K61" s="157"/>
    </row>
    <row r="62" spans="1:11" s="120" customFormat="1">
      <c r="A62" s="151"/>
      <c r="B62" s="152"/>
      <c r="C62" s="152"/>
      <c r="D62" s="152"/>
      <c r="E62" s="152"/>
      <c r="F62" s="153"/>
      <c r="G62" s="154"/>
      <c r="H62" s="155"/>
      <c r="I62" s="156"/>
      <c r="J62" s="153"/>
      <c r="K62" s="157"/>
    </row>
    <row r="63" spans="1:11" s="120" customFormat="1">
      <c r="A63" s="151"/>
      <c r="B63" s="152"/>
      <c r="C63" s="152"/>
      <c r="D63" s="152"/>
      <c r="E63" s="152"/>
      <c r="F63" s="153"/>
      <c r="G63" s="154"/>
      <c r="H63" s="155"/>
      <c r="I63" s="156"/>
      <c r="J63" s="153"/>
      <c r="K63" s="157"/>
    </row>
    <row r="64" spans="1:11" s="120" customFormat="1">
      <c r="A64" s="151"/>
      <c r="B64" s="152"/>
      <c r="C64" s="152"/>
      <c r="D64" s="152"/>
      <c r="E64" s="152"/>
      <c r="F64" s="153"/>
      <c r="G64" s="154"/>
      <c r="H64" s="155"/>
      <c r="I64" s="156"/>
      <c r="J64" s="153"/>
      <c r="K64" s="157"/>
    </row>
    <row r="65" spans="1:11" s="120" customFormat="1">
      <c r="A65" s="151"/>
      <c r="B65" s="152"/>
      <c r="C65" s="152"/>
      <c r="D65" s="152"/>
      <c r="E65" s="152"/>
      <c r="F65" s="153"/>
      <c r="G65" s="154"/>
      <c r="H65" s="155"/>
      <c r="I65" s="156"/>
      <c r="J65" s="153"/>
      <c r="K65" s="157"/>
    </row>
    <row r="66" spans="1:11" s="120" customFormat="1">
      <c r="A66" s="151"/>
      <c r="B66" s="152"/>
      <c r="C66" s="152"/>
      <c r="D66" s="152"/>
      <c r="E66" s="152"/>
      <c r="F66" s="153"/>
      <c r="G66" s="154"/>
      <c r="H66" s="155"/>
      <c r="I66" s="156"/>
      <c r="J66" s="153"/>
      <c r="K66" s="157"/>
    </row>
    <row r="67" spans="1:11" s="120" customFormat="1" ht="14.4" thickBot="1">
      <c r="A67" s="112"/>
      <c r="B67" s="113"/>
      <c r="C67" s="113"/>
      <c r="D67" s="113"/>
      <c r="E67" s="113"/>
      <c r="F67" s="158"/>
      <c r="G67" s="158"/>
      <c r="H67" s="158"/>
      <c r="I67" s="158"/>
      <c r="J67" s="159"/>
      <c r="K67" s="160"/>
    </row>
  </sheetData>
  <mergeCells count="26">
    <mergeCell ref="E44:F44"/>
    <mergeCell ref="G44:H44"/>
    <mergeCell ref="I44:J44"/>
    <mergeCell ref="G13:H13"/>
    <mergeCell ref="I13:J13"/>
    <mergeCell ref="G14:H14"/>
    <mergeCell ref="I14:J14"/>
    <mergeCell ref="E43:F43"/>
    <mergeCell ref="G43:H43"/>
    <mergeCell ref="I43:J43"/>
    <mergeCell ref="A38:K38"/>
    <mergeCell ref="A42:K42"/>
    <mergeCell ref="A43:C43"/>
    <mergeCell ref="E14:F14"/>
    <mergeCell ref="A13:C13"/>
    <mergeCell ref="E13:F13"/>
    <mergeCell ref="C2:K2"/>
    <mergeCell ref="C3:K3"/>
    <mergeCell ref="A5:D5"/>
    <mergeCell ref="E5:G5"/>
    <mergeCell ref="H5:K5"/>
    <mergeCell ref="A6:D6"/>
    <mergeCell ref="E6:G6"/>
    <mergeCell ref="H6:J6"/>
    <mergeCell ref="A8:K8"/>
    <mergeCell ref="A12:K12"/>
  </mergeCells>
  <printOptions horizontalCentered="1"/>
  <pageMargins left="0.59055118110236227" right="0.59055118110236227" top="0.78740157480314965" bottom="0.59055118110236227" header="0" footer="0"/>
  <pageSetup paperSize="9" scale="89" orientation="portrait" r:id="rId1"/>
  <headerFooter alignWithMargins="0">
    <oddFooter>&amp;CDarcio Pagani Vieira
Engenheiro Agrimensor
Crea/SC - 077.222-9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D4:G14"/>
  <sheetViews>
    <sheetView showGridLines="0" zoomScale="130" zoomScaleNormal="130" workbookViewId="0">
      <selection activeCell="G15" sqref="G15"/>
    </sheetView>
  </sheetViews>
  <sheetFormatPr defaultRowHeight="13.8"/>
  <cols>
    <col min="1" max="1" width="6.5546875" style="109" bestFit="1" customWidth="1"/>
    <col min="2" max="2" width="19.44140625" style="109" bestFit="1" customWidth="1"/>
    <col min="3" max="3" width="9.109375" style="109"/>
    <col min="4" max="4" width="5.5546875" style="165" bestFit="1" customWidth="1"/>
    <col min="5" max="5" width="23.6640625" style="165" bestFit="1" customWidth="1"/>
    <col min="6" max="6" width="23.5546875" style="109" hidden="1" customWidth="1"/>
    <col min="7" max="7" width="24.6640625" style="109" customWidth="1"/>
    <col min="8" max="8" width="22" style="109" bestFit="1" customWidth="1"/>
    <col min="9" max="256" width="9.109375" style="109"/>
    <col min="257" max="257" width="6.5546875" style="109" bestFit="1" customWidth="1"/>
    <col min="258" max="258" width="19.44140625" style="109" bestFit="1" customWidth="1"/>
    <col min="259" max="259" width="9.109375" style="109"/>
    <col min="260" max="260" width="5.5546875" style="109" bestFit="1" customWidth="1"/>
    <col min="261" max="261" width="23.6640625" style="109" bestFit="1" customWidth="1"/>
    <col min="262" max="262" width="0" style="109" hidden="1" customWidth="1"/>
    <col min="263" max="263" width="23.5546875" style="109" customWidth="1"/>
    <col min="264" max="264" width="22" style="109" bestFit="1" customWidth="1"/>
    <col min="265" max="512" width="9.109375" style="109"/>
    <col min="513" max="513" width="6.5546875" style="109" bestFit="1" customWidth="1"/>
    <col min="514" max="514" width="19.44140625" style="109" bestFit="1" customWidth="1"/>
    <col min="515" max="515" width="9.109375" style="109"/>
    <col min="516" max="516" width="5.5546875" style="109" bestFit="1" customWidth="1"/>
    <col min="517" max="517" width="23.6640625" style="109" bestFit="1" customWidth="1"/>
    <col min="518" max="518" width="0" style="109" hidden="1" customWidth="1"/>
    <col min="519" max="519" width="23.5546875" style="109" customWidth="1"/>
    <col min="520" max="520" width="22" style="109" bestFit="1" customWidth="1"/>
    <col min="521" max="768" width="9.109375" style="109"/>
    <col min="769" max="769" width="6.5546875" style="109" bestFit="1" customWidth="1"/>
    <col min="770" max="770" width="19.44140625" style="109" bestFit="1" customWidth="1"/>
    <col min="771" max="771" width="9.109375" style="109"/>
    <col min="772" max="772" width="5.5546875" style="109" bestFit="1" customWidth="1"/>
    <col min="773" max="773" width="23.6640625" style="109" bestFit="1" customWidth="1"/>
    <col min="774" max="774" width="0" style="109" hidden="1" customWidth="1"/>
    <col min="775" max="775" width="23.5546875" style="109" customWidth="1"/>
    <col min="776" max="776" width="22" style="109" bestFit="1" customWidth="1"/>
    <col min="777" max="1024" width="9.109375" style="109"/>
    <col min="1025" max="1025" width="6.5546875" style="109" bestFit="1" customWidth="1"/>
    <col min="1026" max="1026" width="19.44140625" style="109" bestFit="1" customWidth="1"/>
    <col min="1027" max="1027" width="9.109375" style="109"/>
    <col min="1028" max="1028" width="5.5546875" style="109" bestFit="1" customWidth="1"/>
    <col min="1029" max="1029" width="23.6640625" style="109" bestFit="1" customWidth="1"/>
    <col min="1030" max="1030" width="0" style="109" hidden="1" customWidth="1"/>
    <col min="1031" max="1031" width="23.5546875" style="109" customWidth="1"/>
    <col min="1032" max="1032" width="22" style="109" bestFit="1" customWidth="1"/>
    <col min="1033" max="1280" width="9.109375" style="109"/>
    <col min="1281" max="1281" width="6.5546875" style="109" bestFit="1" customWidth="1"/>
    <col min="1282" max="1282" width="19.44140625" style="109" bestFit="1" customWidth="1"/>
    <col min="1283" max="1283" width="9.109375" style="109"/>
    <col min="1284" max="1284" width="5.5546875" style="109" bestFit="1" customWidth="1"/>
    <col min="1285" max="1285" width="23.6640625" style="109" bestFit="1" customWidth="1"/>
    <col min="1286" max="1286" width="0" style="109" hidden="1" customWidth="1"/>
    <col min="1287" max="1287" width="23.5546875" style="109" customWidth="1"/>
    <col min="1288" max="1288" width="22" style="109" bestFit="1" customWidth="1"/>
    <col min="1289" max="1536" width="9.109375" style="109"/>
    <col min="1537" max="1537" width="6.5546875" style="109" bestFit="1" customWidth="1"/>
    <col min="1538" max="1538" width="19.44140625" style="109" bestFit="1" customWidth="1"/>
    <col min="1539" max="1539" width="9.109375" style="109"/>
    <col min="1540" max="1540" width="5.5546875" style="109" bestFit="1" customWidth="1"/>
    <col min="1541" max="1541" width="23.6640625" style="109" bestFit="1" customWidth="1"/>
    <col min="1542" max="1542" width="0" style="109" hidden="1" customWidth="1"/>
    <col min="1543" max="1543" width="23.5546875" style="109" customWidth="1"/>
    <col min="1544" max="1544" width="22" style="109" bestFit="1" customWidth="1"/>
    <col min="1545" max="1792" width="9.109375" style="109"/>
    <col min="1793" max="1793" width="6.5546875" style="109" bestFit="1" customWidth="1"/>
    <col min="1794" max="1794" width="19.44140625" style="109" bestFit="1" customWidth="1"/>
    <col min="1795" max="1795" width="9.109375" style="109"/>
    <col min="1796" max="1796" width="5.5546875" style="109" bestFit="1" customWidth="1"/>
    <col min="1797" max="1797" width="23.6640625" style="109" bestFit="1" customWidth="1"/>
    <col min="1798" max="1798" width="0" style="109" hidden="1" customWidth="1"/>
    <col min="1799" max="1799" width="23.5546875" style="109" customWidth="1"/>
    <col min="1800" max="1800" width="22" style="109" bestFit="1" customWidth="1"/>
    <col min="1801" max="2048" width="9.109375" style="109"/>
    <col min="2049" max="2049" width="6.5546875" style="109" bestFit="1" customWidth="1"/>
    <col min="2050" max="2050" width="19.44140625" style="109" bestFit="1" customWidth="1"/>
    <col min="2051" max="2051" width="9.109375" style="109"/>
    <col min="2052" max="2052" width="5.5546875" style="109" bestFit="1" customWidth="1"/>
    <col min="2053" max="2053" width="23.6640625" style="109" bestFit="1" customWidth="1"/>
    <col min="2054" max="2054" width="0" style="109" hidden="1" customWidth="1"/>
    <col min="2055" max="2055" width="23.5546875" style="109" customWidth="1"/>
    <col min="2056" max="2056" width="22" style="109" bestFit="1" customWidth="1"/>
    <col min="2057" max="2304" width="9.109375" style="109"/>
    <col min="2305" max="2305" width="6.5546875" style="109" bestFit="1" customWidth="1"/>
    <col min="2306" max="2306" width="19.44140625" style="109" bestFit="1" customWidth="1"/>
    <col min="2307" max="2307" width="9.109375" style="109"/>
    <col min="2308" max="2308" width="5.5546875" style="109" bestFit="1" customWidth="1"/>
    <col min="2309" max="2309" width="23.6640625" style="109" bestFit="1" customWidth="1"/>
    <col min="2310" max="2310" width="0" style="109" hidden="1" customWidth="1"/>
    <col min="2311" max="2311" width="23.5546875" style="109" customWidth="1"/>
    <col min="2312" max="2312" width="22" style="109" bestFit="1" customWidth="1"/>
    <col min="2313" max="2560" width="9.109375" style="109"/>
    <col min="2561" max="2561" width="6.5546875" style="109" bestFit="1" customWidth="1"/>
    <col min="2562" max="2562" width="19.44140625" style="109" bestFit="1" customWidth="1"/>
    <col min="2563" max="2563" width="9.109375" style="109"/>
    <col min="2564" max="2564" width="5.5546875" style="109" bestFit="1" customWidth="1"/>
    <col min="2565" max="2565" width="23.6640625" style="109" bestFit="1" customWidth="1"/>
    <col min="2566" max="2566" width="0" style="109" hidden="1" customWidth="1"/>
    <col min="2567" max="2567" width="23.5546875" style="109" customWidth="1"/>
    <col min="2568" max="2568" width="22" style="109" bestFit="1" customWidth="1"/>
    <col min="2569" max="2816" width="9.109375" style="109"/>
    <col min="2817" max="2817" width="6.5546875" style="109" bestFit="1" customWidth="1"/>
    <col min="2818" max="2818" width="19.44140625" style="109" bestFit="1" customWidth="1"/>
    <col min="2819" max="2819" width="9.109375" style="109"/>
    <col min="2820" max="2820" width="5.5546875" style="109" bestFit="1" customWidth="1"/>
    <col min="2821" max="2821" width="23.6640625" style="109" bestFit="1" customWidth="1"/>
    <col min="2822" max="2822" width="0" style="109" hidden="1" customWidth="1"/>
    <col min="2823" max="2823" width="23.5546875" style="109" customWidth="1"/>
    <col min="2824" max="2824" width="22" style="109" bestFit="1" customWidth="1"/>
    <col min="2825" max="3072" width="9.109375" style="109"/>
    <col min="3073" max="3073" width="6.5546875" style="109" bestFit="1" customWidth="1"/>
    <col min="3074" max="3074" width="19.44140625" style="109" bestFit="1" customWidth="1"/>
    <col min="3075" max="3075" width="9.109375" style="109"/>
    <col min="3076" max="3076" width="5.5546875" style="109" bestFit="1" customWidth="1"/>
    <col min="3077" max="3077" width="23.6640625" style="109" bestFit="1" customWidth="1"/>
    <col min="3078" max="3078" width="0" style="109" hidden="1" customWidth="1"/>
    <col min="3079" max="3079" width="23.5546875" style="109" customWidth="1"/>
    <col min="3080" max="3080" width="22" style="109" bestFit="1" customWidth="1"/>
    <col min="3081" max="3328" width="9.109375" style="109"/>
    <col min="3329" max="3329" width="6.5546875" style="109" bestFit="1" customWidth="1"/>
    <col min="3330" max="3330" width="19.44140625" style="109" bestFit="1" customWidth="1"/>
    <col min="3331" max="3331" width="9.109375" style="109"/>
    <col min="3332" max="3332" width="5.5546875" style="109" bestFit="1" customWidth="1"/>
    <col min="3333" max="3333" width="23.6640625" style="109" bestFit="1" customWidth="1"/>
    <col min="3334" max="3334" width="0" style="109" hidden="1" customWidth="1"/>
    <col min="3335" max="3335" width="23.5546875" style="109" customWidth="1"/>
    <col min="3336" max="3336" width="22" style="109" bestFit="1" customWidth="1"/>
    <col min="3337" max="3584" width="9.109375" style="109"/>
    <col min="3585" max="3585" width="6.5546875" style="109" bestFit="1" customWidth="1"/>
    <col min="3586" max="3586" width="19.44140625" style="109" bestFit="1" customWidth="1"/>
    <col min="3587" max="3587" width="9.109375" style="109"/>
    <col min="3588" max="3588" width="5.5546875" style="109" bestFit="1" customWidth="1"/>
    <col min="3589" max="3589" width="23.6640625" style="109" bestFit="1" customWidth="1"/>
    <col min="3590" max="3590" width="0" style="109" hidden="1" customWidth="1"/>
    <col min="3591" max="3591" width="23.5546875" style="109" customWidth="1"/>
    <col min="3592" max="3592" width="22" style="109" bestFit="1" customWidth="1"/>
    <col min="3593" max="3840" width="9.109375" style="109"/>
    <col min="3841" max="3841" width="6.5546875" style="109" bestFit="1" customWidth="1"/>
    <col min="3842" max="3842" width="19.44140625" style="109" bestFit="1" customWidth="1"/>
    <col min="3843" max="3843" width="9.109375" style="109"/>
    <col min="3844" max="3844" width="5.5546875" style="109" bestFit="1" customWidth="1"/>
    <col min="3845" max="3845" width="23.6640625" style="109" bestFit="1" customWidth="1"/>
    <col min="3846" max="3846" width="0" style="109" hidden="1" customWidth="1"/>
    <col min="3847" max="3847" width="23.5546875" style="109" customWidth="1"/>
    <col min="3848" max="3848" width="22" style="109" bestFit="1" customWidth="1"/>
    <col min="3849" max="4096" width="9.109375" style="109"/>
    <col min="4097" max="4097" width="6.5546875" style="109" bestFit="1" customWidth="1"/>
    <col min="4098" max="4098" width="19.44140625" style="109" bestFit="1" customWidth="1"/>
    <col min="4099" max="4099" width="9.109375" style="109"/>
    <col min="4100" max="4100" width="5.5546875" style="109" bestFit="1" customWidth="1"/>
    <col min="4101" max="4101" width="23.6640625" style="109" bestFit="1" customWidth="1"/>
    <col min="4102" max="4102" width="0" style="109" hidden="1" customWidth="1"/>
    <col min="4103" max="4103" width="23.5546875" style="109" customWidth="1"/>
    <col min="4104" max="4104" width="22" style="109" bestFit="1" customWidth="1"/>
    <col min="4105" max="4352" width="9.109375" style="109"/>
    <col min="4353" max="4353" width="6.5546875" style="109" bestFit="1" customWidth="1"/>
    <col min="4354" max="4354" width="19.44140625" style="109" bestFit="1" customWidth="1"/>
    <col min="4355" max="4355" width="9.109375" style="109"/>
    <col min="4356" max="4356" width="5.5546875" style="109" bestFit="1" customWidth="1"/>
    <col min="4357" max="4357" width="23.6640625" style="109" bestFit="1" customWidth="1"/>
    <col min="4358" max="4358" width="0" style="109" hidden="1" customWidth="1"/>
    <col min="4359" max="4359" width="23.5546875" style="109" customWidth="1"/>
    <col min="4360" max="4360" width="22" style="109" bestFit="1" customWidth="1"/>
    <col min="4361" max="4608" width="9.109375" style="109"/>
    <col min="4609" max="4609" width="6.5546875" style="109" bestFit="1" customWidth="1"/>
    <col min="4610" max="4610" width="19.44140625" style="109" bestFit="1" customWidth="1"/>
    <col min="4611" max="4611" width="9.109375" style="109"/>
    <col min="4612" max="4612" width="5.5546875" style="109" bestFit="1" customWidth="1"/>
    <col min="4613" max="4613" width="23.6640625" style="109" bestFit="1" customWidth="1"/>
    <col min="4614" max="4614" width="0" style="109" hidden="1" customWidth="1"/>
    <col min="4615" max="4615" width="23.5546875" style="109" customWidth="1"/>
    <col min="4616" max="4616" width="22" style="109" bestFit="1" customWidth="1"/>
    <col min="4617" max="4864" width="9.109375" style="109"/>
    <col min="4865" max="4865" width="6.5546875" style="109" bestFit="1" customWidth="1"/>
    <col min="4866" max="4866" width="19.44140625" style="109" bestFit="1" customWidth="1"/>
    <col min="4867" max="4867" width="9.109375" style="109"/>
    <col min="4868" max="4868" width="5.5546875" style="109" bestFit="1" customWidth="1"/>
    <col min="4869" max="4869" width="23.6640625" style="109" bestFit="1" customWidth="1"/>
    <col min="4870" max="4870" width="0" style="109" hidden="1" customWidth="1"/>
    <col min="4871" max="4871" width="23.5546875" style="109" customWidth="1"/>
    <col min="4872" max="4872" width="22" style="109" bestFit="1" customWidth="1"/>
    <col min="4873" max="5120" width="9.109375" style="109"/>
    <col min="5121" max="5121" width="6.5546875" style="109" bestFit="1" customWidth="1"/>
    <col min="5122" max="5122" width="19.44140625" style="109" bestFit="1" customWidth="1"/>
    <col min="5123" max="5123" width="9.109375" style="109"/>
    <col min="5124" max="5124" width="5.5546875" style="109" bestFit="1" customWidth="1"/>
    <col min="5125" max="5125" width="23.6640625" style="109" bestFit="1" customWidth="1"/>
    <col min="5126" max="5126" width="0" style="109" hidden="1" customWidth="1"/>
    <col min="5127" max="5127" width="23.5546875" style="109" customWidth="1"/>
    <col min="5128" max="5128" width="22" style="109" bestFit="1" customWidth="1"/>
    <col min="5129" max="5376" width="9.109375" style="109"/>
    <col min="5377" max="5377" width="6.5546875" style="109" bestFit="1" customWidth="1"/>
    <col min="5378" max="5378" width="19.44140625" style="109" bestFit="1" customWidth="1"/>
    <col min="5379" max="5379" width="9.109375" style="109"/>
    <col min="5380" max="5380" width="5.5546875" style="109" bestFit="1" customWidth="1"/>
    <col min="5381" max="5381" width="23.6640625" style="109" bestFit="1" customWidth="1"/>
    <col min="5382" max="5382" width="0" style="109" hidden="1" customWidth="1"/>
    <col min="5383" max="5383" width="23.5546875" style="109" customWidth="1"/>
    <col min="5384" max="5384" width="22" style="109" bestFit="1" customWidth="1"/>
    <col min="5385" max="5632" width="9.109375" style="109"/>
    <col min="5633" max="5633" width="6.5546875" style="109" bestFit="1" customWidth="1"/>
    <col min="5634" max="5634" width="19.44140625" style="109" bestFit="1" customWidth="1"/>
    <col min="5635" max="5635" width="9.109375" style="109"/>
    <col min="5636" max="5636" width="5.5546875" style="109" bestFit="1" customWidth="1"/>
    <col min="5637" max="5637" width="23.6640625" style="109" bestFit="1" customWidth="1"/>
    <col min="5638" max="5638" width="0" style="109" hidden="1" customWidth="1"/>
    <col min="5639" max="5639" width="23.5546875" style="109" customWidth="1"/>
    <col min="5640" max="5640" width="22" style="109" bestFit="1" customWidth="1"/>
    <col min="5641" max="5888" width="9.109375" style="109"/>
    <col min="5889" max="5889" width="6.5546875" style="109" bestFit="1" customWidth="1"/>
    <col min="5890" max="5890" width="19.44140625" style="109" bestFit="1" customWidth="1"/>
    <col min="5891" max="5891" width="9.109375" style="109"/>
    <col min="5892" max="5892" width="5.5546875" style="109" bestFit="1" customWidth="1"/>
    <col min="5893" max="5893" width="23.6640625" style="109" bestFit="1" customWidth="1"/>
    <col min="5894" max="5894" width="0" style="109" hidden="1" customWidth="1"/>
    <col min="5895" max="5895" width="23.5546875" style="109" customWidth="1"/>
    <col min="5896" max="5896" width="22" style="109" bestFit="1" customWidth="1"/>
    <col min="5897" max="6144" width="9.109375" style="109"/>
    <col min="6145" max="6145" width="6.5546875" style="109" bestFit="1" customWidth="1"/>
    <col min="6146" max="6146" width="19.44140625" style="109" bestFit="1" customWidth="1"/>
    <col min="6147" max="6147" width="9.109375" style="109"/>
    <col min="6148" max="6148" width="5.5546875" style="109" bestFit="1" customWidth="1"/>
    <col min="6149" max="6149" width="23.6640625" style="109" bestFit="1" customWidth="1"/>
    <col min="6150" max="6150" width="0" style="109" hidden="1" customWidth="1"/>
    <col min="6151" max="6151" width="23.5546875" style="109" customWidth="1"/>
    <col min="6152" max="6152" width="22" style="109" bestFit="1" customWidth="1"/>
    <col min="6153" max="6400" width="9.109375" style="109"/>
    <col min="6401" max="6401" width="6.5546875" style="109" bestFit="1" customWidth="1"/>
    <col min="6402" max="6402" width="19.44140625" style="109" bestFit="1" customWidth="1"/>
    <col min="6403" max="6403" width="9.109375" style="109"/>
    <col min="6404" max="6404" width="5.5546875" style="109" bestFit="1" customWidth="1"/>
    <col min="6405" max="6405" width="23.6640625" style="109" bestFit="1" customWidth="1"/>
    <col min="6406" max="6406" width="0" style="109" hidden="1" customWidth="1"/>
    <col min="6407" max="6407" width="23.5546875" style="109" customWidth="1"/>
    <col min="6408" max="6408" width="22" style="109" bestFit="1" customWidth="1"/>
    <col min="6409" max="6656" width="9.109375" style="109"/>
    <col min="6657" max="6657" width="6.5546875" style="109" bestFit="1" customWidth="1"/>
    <col min="6658" max="6658" width="19.44140625" style="109" bestFit="1" customWidth="1"/>
    <col min="6659" max="6659" width="9.109375" style="109"/>
    <col min="6660" max="6660" width="5.5546875" style="109" bestFit="1" customWidth="1"/>
    <col min="6661" max="6661" width="23.6640625" style="109" bestFit="1" customWidth="1"/>
    <col min="6662" max="6662" width="0" style="109" hidden="1" customWidth="1"/>
    <col min="6663" max="6663" width="23.5546875" style="109" customWidth="1"/>
    <col min="6664" max="6664" width="22" style="109" bestFit="1" customWidth="1"/>
    <col min="6665" max="6912" width="9.109375" style="109"/>
    <col min="6913" max="6913" width="6.5546875" style="109" bestFit="1" customWidth="1"/>
    <col min="6914" max="6914" width="19.44140625" style="109" bestFit="1" customWidth="1"/>
    <col min="6915" max="6915" width="9.109375" style="109"/>
    <col min="6916" max="6916" width="5.5546875" style="109" bestFit="1" customWidth="1"/>
    <col min="6917" max="6917" width="23.6640625" style="109" bestFit="1" customWidth="1"/>
    <col min="6918" max="6918" width="0" style="109" hidden="1" customWidth="1"/>
    <col min="6919" max="6919" width="23.5546875" style="109" customWidth="1"/>
    <col min="6920" max="6920" width="22" style="109" bestFit="1" customWidth="1"/>
    <col min="6921" max="7168" width="9.109375" style="109"/>
    <col min="7169" max="7169" width="6.5546875" style="109" bestFit="1" customWidth="1"/>
    <col min="7170" max="7170" width="19.44140625" style="109" bestFit="1" customWidth="1"/>
    <col min="7171" max="7171" width="9.109375" style="109"/>
    <col min="7172" max="7172" width="5.5546875" style="109" bestFit="1" customWidth="1"/>
    <col min="7173" max="7173" width="23.6640625" style="109" bestFit="1" customWidth="1"/>
    <col min="7174" max="7174" width="0" style="109" hidden="1" customWidth="1"/>
    <col min="7175" max="7175" width="23.5546875" style="109" customWidth="1"/>
    <col min="7176" max="7176" width="22" style="109" bestFit="1" customWidth="1"/>
    <col min="7177" max="7424" width="9.109375" style="109"/>
    <col min="7425" max="7425" width="6.5546875" style="109" bestFit="1" customWidth="1"/>
    <col min="7426" max="7426" width="19.44140625" style="109" bestFit="1" customWidth="1"/>
    <col min="7427" max="7427" width="9.109375" style="109"/>
    <col min="7428" max="7428" width="5.5546875" style="109" bestFit="1" customWidth="1"/>
    <col min="7429" max="7429" width="23.6640625" style="109" bestFit="1" customWidth="1"/>
    <col min="7430" max="7430" width="0" style="109" hidden="1" customWidth="1"/>
    <col min="7431" max="7431" width="23.5546875" style="109" customWidth="1"/>
    <col min="7432" max="7432" width="22" style="109" bestFit="1" customWidth="1"/>
    <col min="7433" max="7680" width="9.109375" style="109"/>
    <col min="7681" max="7681" width="6.5546875" style="109" bestFit="1" customWidth="1"/>
    <col min="7682" max="7682" width="19.44140625" style="109" bestFit="1" customWidth="1"/>
    <col min="7683" max="7683" width="9.109375" style="109"/>
    <col min="7684" max="7684" width="5.5546875" style="109" bestFit="1" customWidth="1"/>
    <col min="7685" max="7685" width="23.6640625" style="109" bestFit="1" customWidth="1"/>
    <col min="7686" max="7686" width="0" style="109" hidden="1" customWidth="1"/>
    <col min="7687" max="7687" width="23.5546875" style="109" customWidth="1"/>
    <col min="7688" max="7688" width="22" style="109" bestFit="1" customWidth="1"/>
    <col min="7689" max="7936" width="9.109375" style="109"/>
    <col min="7937" max="7937" width="6.5546875" style="109" bestFit="1" customWidth="1"/>
    <col min="7938" max="7938" width="19.44140625" style="109" bestFit="1" customWidth="1"/>
    <col min="7939" max="7939" width="9.109375" style="109"/>
    <col min="7940" max="7940" width="5.5546875" style="109" bestFit="1" customWidth="1"/>
    <col min="7941" max="7941" width="23.6640625" style="109" bestFit="1" customWidth="1"/>
    <col min="7942" max="7942" width="0" style="109" hidden="1" customWidth="1"/>
    <col min="7943" max="7943" width="23.5546875" style="109" customWidth="1"/>
    <col min="7944" max="7944" width="22" style="109" bestFit="1" customWidth="1"/>
    <col min="7945" max="8192" width="9.109375" style="109"/>
    <col min="8193" max="8193" width="6.5546875" style="109" bestFit="1" customWidth="1"/>
    <col min="8194" max="8194" width="19.44140625" style="109" bestFit="1" customWidth="1"/>
    <col min="8195" max="8195" width="9.109375" style="109"/>
    <col min="8196" max="8196" width="5.5546875" style="109" bestFit="1" customWidth="1"/>
    <col min="8197" max="8197" width="23.6640625" style="109" bestFit="1" customWidth="1"/>
    <col min="8198" max="8198" width="0" style="109" hidden="1" customWidth="1"/>
    <col min="8199" max="8199" width="23.5546875" style="109" customWidth="1"/>
    <col min="8200" max="8200" width="22" style="109" bestFit="1" customWidth="1"/>
    <col min="8201" max="8448" width="9.109375" style="109"/>
    <col min="8449" max="8449" width="6.5546875" style="109" bestFit="1" customWidth="1"/>
    <col min="8450" max="8450" width="19.44140625" style="109" bestFit="1" customWidth="1"/>
    <col min="8451" max="8451" width="9.109375" style="109"/>
    <col min="8452" max="8452" width="5.5546875" style="109" bestFit="1" customWidth="1"/>
    <col min="8453" max="8453" width="23.6640625" style="109" bestFit="1" customWidth="1"/>
    <col min="8454" max="8454" width="0" style="109" hidden="1" customWidth="1"/>
    <col min="8455" max="8455" width="23.5546875" style="109" customWidth="1"/>
    <col min="8456" max="8456" width="22" style="109" bestFit="1" customWidth="1"/>
    <col min="8457" max="8704" width="9.109375" style="109"/>
    <col min="8705" max="8705" width="6.5546875" style="109" bestFit="1" customWidth="1"/>
    <col min="8706" max="8706" width="19.44140625" style="109" bestFit="1" customWidth="1"/>
    <col min="8707" max="8707" width="9.109375" style="109"/>
    <col min="8708" max="8708" width="5.5546875" style="109" bestFit="1" customWidth="1"/>
    <col min="8709" max="8709" width="23.6640625" style="109" bestFit="1" customWidth="1"/>
    <col min="8710" max="8710" width="0" style="109" hidden="1" customWidth="1"/>
    <col min="8711" max="8711" width="23.5546875" style="109" customWidth="1"/>
    <col min="8712" max="8712" width="22" style="109" bestFit="1" customWidth="1"/>
    <col min="8713" max="8960" width="9.109375" style="109"/>
    <col min="8961" max="8961" width="6.5546875" style="109" bestFit="1" customWidth="1"/>
    <col min="8962" max="8962" width="19.44140625" style="109" bestFit="1" customWidth="1"/>
    <col min="8963" max="8963" width="9.109375" style="109"/>
    <col min="8964" max="8964" width="5.5546875" style="109" bestFit="1" customWidth="1"/>
    <col min="8965" max="8965" width="23.6640625" style="109" bestFit="1" customWidth="1"/>
    <col min="8966" max="8966" width="0" style="109" hidden="1" customWidth="1"/>
    <col min="8967" max="8967" width="23.5546875" style="109" customWidth="1"/>
    <col min="8968" max="8968" width="22" style="109" bestFit="1" customWidth="1"/>
    <col min="8969" max="9216" width="9.109375" style="109"/>
    <col min="9217" max="9217" width="6.5546875" style="109" bestFit="1" customWidth="1"/>
    <col min="9218" max="9218" width="19.44140625" style="109" bestFit="1" customWidth="1"/>
    <col min="9219" max="9219" width="9.109375" style="109"/>
    <col min="9220" max="9220" width="5.5546875" style="109" bestFit="1" customWidth="1"/>
    <col min="9221" max="9221" width="23.6640625" style="109" bestFit="1" customWidth="1"/>
    <col min="9222" max="9222" width="0" style="109" hidden="1" customWidth="1"/>
    <col min="9223" max="9223" width="23.5546875" style="109" customWidth="1"/>
    <col min="9224" max="9224" width="22" style="109" bestFit="1" customWidth="1"/>
    <col min="9225" max="9472" width="9.109375" style="109"/>
    <col min="9473" max="9473" width="6.5546875" style="109" bestFit="1" customWidth="1"/>
    <col min="9474" max="9474" width="19.44140625" style="109" bestFit="1" customWidth="1"/>
    <col min="9475" max="9475" width="9.109375" style="109"/>
    <col min="9476" max="9476" width="5.5546875" style="109" bestFit="1" customWidth="1"/>
    <col min="9477" max="9477" width="23.6640625" style="109" bestFit="1" customWidth="1"/>
    <col min="9478" max="9478" width="0" style="109" hidden="1" customWidth="1"/>
    <col min="9479" max="9479" width="23.5546875" style="109" customWidth="1"/>
    <col min="9480" max="9480" width="22" style="109" bestFit="1" customWidth="1"/>
    <col min="9481" max="9728" width="9.109375" style="109"/>
    <col min="9729" max="9729" width="6.5546875" style="109" bestFit="1" customWidth="1"/>
    <col min="9730" max="9730" width="19.44140625" style="109" bestFit="1" customWidth="1"/>
    <col min="9731" max="9731" width="9.109375" style="109"/>
    <col min="9732" max="9732" width="5.5546875" style="109" bestFit="1" customWidth="1"/>
    <col min="9733" max="9733" width="23.6640625" style="109" bestFit="1" customWidth="1"/>
    <col min="9734" max="9734" width="0" style="109" hidden="1" customWidth="1"/>
    <col min="9735" max="9735" width="23.5546875" style="109" customWidth="1"/>
    <col min="9736" max="9736" width="22" style="109" bestFit="1" customWidth="1"/>
    <col min="9737" max="9984" width="9.109375" style="109"/>
    <col min="9985" max="9985" width="6.5546875" style="109" bestFit="1" customWidth="1"/>
    <col min="9986" max="9986" width="19.44140625" style="109" bestFit="1" customWidth="1"/>
    <col min="9987" max="9987" width="9.109375" style="109"/>
    <col min="9988" max="9988" width="5.5546875" style="109" bestFit="1" customWidth="1"/>
    <col min="9989" max="9989" width="23.6640625" style="109" bestFit="1" customWidth="1"/>
    <col min="9990" max="9990" width="0" style="109" hidden="1" customWidth="1"/>
    <col min="9991" max="9991" width="23.5546875" style="109" customWidth="1"/>
    <col min="9992" max="9992" width="22" style="109" bestFit="1" customWidth="1"/>
    <col min="9993" max="10240" width="9.109375" style="109"/>
    <col min="10241" max="10241" width="6.5546875" style="109" bestFit="1" customWidth="1"/>
    <col min="10242" max="10242" width="19.44140625" style="109" bestFit="1" customWidth="1"/>
    <col min="10243" max="10243" width="9.109375" style="109"/>
    <col min="10244" max="10244" width="5.5546875" style="109" bestFit="1" customWidth="1"/>
    <col min="10245" max="10245" width="23.6640625" style="109" bestFit="1" customWidth="1"/>
    <col min="10246" max="10246" width="0" style="109" hidden="1" customWidth="1"/>
    <col min="10247" max="10247" width="23.5546875" style="109" customWidth="1"/>
    <col min="10248" max="10248" width="22" style="109" bestFit="1" customWidth="1"/>
    <col min="10249" max="10496" width="9.109375" style="109"/>
    <col min="10497" max="10497" width="6.5546875" style="109" bestFit="1" customWidth="1"/>
    <col min="10498" max="10498" width="19.44140625" style="109" bestFit="1" customWidth="1"/>
    <col min="10499" max="10499" width="9.109375" style="109"/>
    <col min="10500" max="10500" width="5.5546875" style="109" bestFit="1" customWidth="1"/>
    <col min="10501" max="10501" width="23.6640625" style="109" bestFit="1" customWidth="1"/>
    <col min="10502" max="10502" width="0" style="109" hidden="1" customWidth="1"/>
    <col min="10503" max="10503" width="23.5546875" style="109" customWidth="1"/>
    <col min="10504" max="10504" width="22" style="109" bestFit="1" customWidth="1"/>
    <col min="10505" max="10752" width="9.109375" style="109"/>
    <col min="10753" max="10753" width="6.5546875" style="109" bestFit="1" customWidth="1"/>
    <col min="10754" max="10754" width="19.44140625" style="109" bestFit="1" customWidth="1"/>
    <col min="10755" max="10755" width="9.109375" style="109"/>
    <col min="10756" max="10756" width="5.5546875" style="109" bestFit="1" customWidth="1"/>
    <col min="10757" max="10757" width="23.6640625" style="109" bestFit="1" customWidth="1"/>
    <col min="10758" max="10758" width="0" style="109" hidden="1" customWidth="1"/>
    <col min="10759" max="10759" width="23.5546875" style="109" customWidth="1"/>
    <col min="10760" max="10760" width="22" style="109" bestFit="1" customWidth="1"/>
    <col min="10761" max="11008" width="9.109375" style="109"/>
    <col min="11009" max="11009" width="6.5546875" style="109" bestFit="1" customWidth="1"/>
    <col min="11010" max="11010" width="19.44140625" style="109" bestFit="1" customWidth="1"/>
    <col min="11011" max="11011" width="9.109375" style="109"/>
    <col min="11012" max="11012" width="5.5546875" style="109" bestFit="1" customWidth="1"/>
    <col min="11013" max="11013" width="23.6640625" style="109" bestFit="1" customWidth="1"/>
    <col min="11014" max="11014" width="0" style="109" hidden="1" customWidth="1"/>
    <col min="11015" max="11015" width="23.5546875" style="109" customWidth="1"/>
    <col min="11016" max="11016" width="22" style="109" bestFit="1" customWidth="1"/>
    <col min="11017" max="11264" width="9.109375" style="109"/>
    <col min="11265" max="11265" width="6.5546875" style="109" bestFit="1" customWidth="1"/>
    <col min="11266" max="11266" width="19.44140625" style="109" bestFit="1" customWidth="1"/>
    <col min="11267" max="11267" width="9.109375" style="109"/>
    <col min="11268" max="11268" width="5.5546875" style="109" bestFit="1" customWidth="1"/>
    <col min="11269" max="11269" width="23.6640625" style="109" bestFit="1" customWidth="1"/>
    <col min="11270" max="11270" width="0" style="109" hidden="1" customWidth="1"/>
    <col min="11271" max="11271" width="23.5546875" style="109" customWidth="1"/>
    <col min="11272" max="11272" width="22" style="109" bestFit="1" customWidth="1"/>
    <col min="11273" max="11520" width="9.109375" style="109"/>
    <col min="11521" max="11521" width="6.5546875" style="109" bestFit="1" customWidth="1"/>
    <col min="11522" max="11522" width="19.44140625" style="109" bestFit="1" customWidth="1"/>
    <col min="11523" max="11523" width="9.109375" style="109"/>
    <col min="11524" max="11524" width="5.5546875" style="109" bestFit="1" customWidth="1"/>
    <col min="11525" max="11525" width="23.6640625" style="109" bestFit="1" customWidth="1"/>
    <col min="11526" max="11526" width="0" style="109" hidden="1" customWidth="1"/>
    <col min="11527" max="11527" width="23.5546875" style="109" customWidth="1"/>
    <col min="11528" max="11528" width="22" style="109" bestFit="1" customWidth="1"/>
    <col min="11529" max="11776" width="9.109375" style="109"/>
    <col min="11777" max="11777" width="6.5546875" style="109" bestFit="1" customWidth="1"/>
    <col min="11778" max="11778" width="19.44140625" style="109" bestFit="1" customWidth="1"/>
    <col min="11779" max="11779" width="9.109375" style="109"/>
    <col min="11780" max="11780" width="5.5546875" style="109" bestFit="1" customWidth="1"/>
    <col min="11781" max="11781" width="23.6640625" style="109" bestFit="1" customWidth="1"/>
    <col min="11782" max="11782" width="0" style="109" hidden="1" customWidth="1"/>
    <col min="11783" max="11783" width="23.5546875" style="109" customWidth="1"/>
    <col min="11784" max="11784" width="22" style="109" bestFit="1" customWidth="1"/>
    <col min="11785" max="12032" width="9.109375" style="109"/>
    <col min="12033" max="12033" width="6.5546875" style="109" bestFit="1" customWidth="1"/>
    <col min="12034" max="12034" width="19.44140625" style="109" bestFit="1" customWidth="1"/>
    <col min="12035" max="12035" width="9.109375" style="109"/>
    <col min="12036" max="12036" width="5.5546875" style="109" bestFit="1" customWidth="1"/>
    <col min="12037" max="12037" width="23.6640625" style="109" bestFit="1" customWidth="1"/>
    <col min="12038" max="12038" width="0" style="109" hidden="1" customWidth="1"/>
    <col min="12039" max="12039" width="23.5546875" style="109" customWidth="1"/>
    <col min="12040" max="12040" width="22" style="109" bestFit="1" customWidth="1"/>
    <col min="12041" max="12288" width="9.109375" style="109"/>
    <col min="12289" max="12289" width="6.5546875" style="109" bestFit="1" customWidth="1"/>
    <col min="12290" max="12290" width="19.44140625" style="109" bestFit="1" customWidth="1"/>
    <col min="12291" max="12291" width="9.109375" style="109"/>
    <col min="12292" max="12292" width="5.5546875" style="109" bestFit="1" customWidth="1"/>
    <col min="12293" max="12293" width="23.6640625" style="109" bestFit="1" customWidth="1"/>
    <col min="12294" max="12294" width="0" style="109" hidden="1" customWidth="1"/>
    <col min="12295" max="12295" width="23.5546875" style="109" customWidth="1"/>
    <col min="12296" max="12296" width="22" style="109" bestFit="1" customWidth="1"/>
    <col min="12297" max="12544" width="9.109375" style="109"/>
    <col min="12545" max="12545" width="6.5546875" style="109" bestFit="1" customWidth="1"/>
    <col min="12546" max="12546" width="19.44140625" style="109" bestFit="1" customWidth="1"/>
    <col min="12547" max="12547" width="9.109375" style="109"/>
    <col min="12548" max="12548" width="5.5546875" style="109" bestFit="1" customWidth="1"/>
    <col min="12549" max="12549" width="23.6640625" style="109" bestFit="1" customWidth="1"/>
    <col min="12550" max="12550" width="0" style="109" hidden="1" customWidth="1"/>
    <col min="12551" max="12551" width="23.5546875" style="109" customWidth="1"/>
    <col min="12552" max="12552" width="22" style="109" bestFit="1" customWidth="1"/>
    <col min="12553" max="12800" width="9.109375" style="109"/>
    <col min="12801" max="12801" width="6.5546875" style="109" bestFit="1" customWidth="1"/>
    <col min="12802" max="12802" width="19.44140625" style="109" bestFit="1" customWidth="1"/>
    <col min="12803" max="12803" width="9.109375" style="109"/>
    <col min="12804" max="12804" width="5.5546875" style="109" bestFit="1" customWidth="1"/>
    <col min="12805" max="12805" width="23.6640625" style="109" bestFit="1" customWidth="1"/>
    <col min="12806" max="12806" width="0" style="109" hidden="1" customWidth="1"/>
    <col min="12807" max="12807" width="23.5546875" style="109" customWidth="1"/>
    <col min="12808" max="12808" width="22" style="109" bestFit="1" customWidth="1"/>
    <col min="12809" max="13056" width="9.109375" style="109"/>
    <col min="13057" max="13057" width="6.5546875" style="109" bestFit="1" customWidth="1"/>
    <col min="13058" max="13058" width="19.44140625" style="109" bestFit="1" customWidth="1"/>
    <col min="13059" max="13059" width="9.109375" style="109"/>
    <col min="13060" max="13060" width="5.5546875" style="109" bestFit="1" customWidth="1"/>
    <col min="13061" max="13061" width="23.6640625" style="109" bestFit="1" customWidth="1"/>
    <col min="13062" max="13062" width="0" style="109" hidden="1" customWidth="1"/>
    <col min="13063" max="13063" width="23.5546875" style="109" customWidth="1"/>
    <col min="13064" max="13064" width="22" style="109" bestFit="1" customWidth="1"/>
    <col min="13065" max="13312" width="9.109375" style="109"/>
    <col min="13313" max="13313" width="6.5546875" style="109" bestFit="1" customWidth="1"/>
    <col min="13314" max="13314" width="19.44140625" style="109" bestFit="1" customWidth="1"/>
    <col min="13315" max="13315" width="9.109375" style="109"/>
    <col min="13316" max="13316" width="5.5546875" style="109" bestFit="1" customWidth="1"/>
    <col min="13317" max="13317" width="23.6640625" style="109" bestFit="1" customWidth="1"/>
    <col min="13318" max="13318" width="0" style="109" hidden="1" customWidth="1"/>
    <col min="13319" max="13319" width="23.5546875" style="109" customWidth="1"/>
    <col min="13320" max="13320" width="22" style="109" bestFit="1" customWidth="1"/>
    <col min="13321" max="13568" width="9.109375" style="109"/>
    <col min="13569" max="13569" width="6.5546875" style="109" bestFit="1" customWidth="1"/>
    <col min="13570" max="13570" width="19.44140625" style="109" bestFit="1" customWidth="1"/>
    <col min="13571" max="13571" width="9.109375" style="109"/>
    <col min="13572" max="13572" width="5.5546875" style="109" bestFit="1" customWidth="1"/>
    <col min="13573" max="13573" width="23.6640625" style="109" bestFit="1" customWidth="1"/>
    <col min="13574" max="13574" width="0" style="109" hidden="1" customWidth="1"/>
    <col min="13575" max="13575" width="23.5546875" style="109" customWidth="1"/>
    <col min="13576" max="13576" width="22" style="109" bestFit="1" customWidth="1"/>
    <col min="13577" max="13824" width="9.109375" style="109"/>
    <col min="13825" max="13825" width="6.5546875" style="109" bestFit="1" customWidth="1"/>
    <col min="13826" max="13826" width="19.44140625" style="109" bestFit="1" customWidth="1"/>
    <col min="13827" max="13827" width="9.109375" style="109"/>
    <col min="13828" max="13828" width="5.5546875" style="109" bestFit="1" customWidth="1"/>
    <col min="13829" max="13829" width="23.6640625" style="109" bestFit="1" customWidth="1"/>
    <col min="13830" max="13830" width="0" style="109" hidden="1" customWidth="1"/>
    <col min="13831" max="13831" width="23.5546875" style="109" customWidth="1"/>
    <col min="13832" max="13832" width="22" style="109" bestFit="1" customWidth="1"/>
    <col min="13833" max="14080" width="9.109375" style="109"/>
    <col min="14081" max="14081" width="6.5546875" style="109" bestFit="1" customWidth="1"/>
    <col min="14082" max="14082" width="19.44140625" style="109" bestFit="1" customWidth="1"/>
    <col min="14083" max="14083" width="9.109375" style="109"/>
    <col min="14084" max="14084" width="5.5546875" style="109" bestFit="1" customWidth="1"/>
    <col min="14085" max="14085" width="23.6640625" style="109" bestFit="1" customWidth="1"/>
    <col min="14086" max="14086" width="0" style="109" hidden="1" customWidth="1"/>
    <col min="14087" max="14087" width="23.5546875" style="109" customWidth="1"/>
    <col min="14088" max="14088" width="22" style="109" bestFit="1" customWidth="1"/>
    <col min="14089" max="14336" width="9.109375" style="109"/>
    <col min="14337" max="14337" width="6.5546875" style="109" bestFit="1" customWidth="1"/>
    <col min="14338" max="14338" width="19.44140625" style="109" bestFit="1" customWidth="1"/>
    <col min="14339" max="14339" width="9.109375" style="109"/>
    <col min="14340" max="14340" width="5.5546875" style="109" bestFit="1" customWidth="1"/>
    <col min="14341" max="14341" width="23.6640625" style="109" bestFit="1" customWidth="1"/>
    <col min="14342" max="14342" width="0" style="109" hidden="1" customWidth="1"/>
    <col min="14343" max="14343" width="23.5546875" style="109" customWidth="1"/>
    <col min="14344" max="14344" width="22" style="109" bestFit="1" customWidth="1"/>
    <col min="14345" max="14592" width="9.109375" style="109"/>
    <col min="14593" max="14593" width="6.5546875" style="109" bestFit="1" customWidth="1"/>
    <col min="14594" max="14594" width="19.44140625" style="109" bestFit="1" customWidth="1"/>
    <col min="14595" max="14595" width="9.109375" style="109"/>
    <col min="14596" max="14596" width="5.5546875" style="109" bestFit="1" customWidth="1"/>
    <col min="14597" max="14597" width="23.6640625" style="109" bestFit="1" customWidth="1"/>
    <col min="14598" max="14598" width="0" style="109" hidden="1" customWidth="1"/>
    <col min="14599" max="14599" width="23.5546875" style="109" customWidth="1"/>
    <col min="14600" max="14600" width="22" style="109" bestFit="1" customWidth="1"/>
    <col min="14601" max="14848" width="9.109375" style="109"/>
    <col min="14849" max="14849" width="6.5546875" style="109" bestFit="1" customWidth="1"/>
    <col min="14850" max="14850" width="19.44140625" style="109" bestFit="1" customWidth="1"/>
    <col min="14851" max="14851" width="9.109375" style="109"/>
    <col min="14852" max="14852" width="5.5546875" style="109" bestFit="1" customWidth="1"/>
    <col min="14853" max="14853" width="23.6640625" style="109" bestFit="1" customWidth="1"/>
    <col min="14854" max="14854" width="0" style="109" hidden="1" customWidth="1"/>
    <col min="14855" max="14855" width="23.5546875" style="109" customWidth="1"/>
    <col min="14856" max="14856" width="22" style="109" bestFit="1" customWidth="1"/>
    <col min="14857" max="15104" width="9.109375" style="109"/>
    <col min="15105" max="15105" width="6.5546875" style="109" bestFit="1" customWidth="1"/>
    <col min="15106" max="15106" width="19.44140625" style="109" bestFit="1" customWidth="1"/>
    <col min="15107" max="15107" width="9.109375" style="109"/>
    <col min="15108" max="15108" width="5.5546875" style="109" bestFit="1" customWidth="1"/>
    <col min="15109" max="15109" width="23.6640625" style="109" bestFit="1" customWidth="1"/>
    <col min="15110" max="15110" width="0" style="109" hidden="1" customWidth="1"/>
    <col min="15111" max="15111" width="23.5546875" style="109" customWidth="1"/>
    <col min="15112" max="15112" width="22" style="109" bestFit="1" customWidth="1"/>
    <col min="15113" max="15360" width="9.109375" style="109"/>
    <col min="15361" max="15361" width="6.5546875" style="109" bestFit="1" customWidth="1"/>
    <col min="15362" max="15362" width="19.44140625" style="109" bestFit="1" customWidth="1"/>
    <col min="15363" max="15363" width="9.109375" style="109"/>
    <col min="15364" max="15364" width="5.5546875" style="109" bestFit="1" customWidth="1"/>
    <col min="15365" max="15365" width="23.6640625" style="109" bestFit="1" customWidth="1"/>
    <col min="15366" max="15366" width="0" style="109" hidden="1" customWidth="1"/>
    <col min="15367" max="15367" width="23.5546875" style="109" customWidth="1"/>
    <col min="15368" max="15368" width="22" style="109" bestFit="1" customWidth="1"/>
    <col min="15369" max="15616" width="9.109375" style="109"/>
    <col min="15617" max="15617" width="6.5546875" style="109" bestFit="1" customWidth="1"/>
    <col min="15618" max="15618" width="19.44140625" style="109" bestFit="1" customWidth="1"/>
    <col min="15619" max="15619" width="9.109375" style="109"/>
    <col min="15620" max="15620" width="5.5546875" style="109" bestFit="1" customWidth="1"/>
    <col min="15621" max="15621" width="23.6640625" style="109" bestFit="1" customWidth="1"/>
    <col min="15622" max="15622" width="0" style="109" hidden="1" customWidth="1"/>
    <col min="15623" max="15623" width="23.5546875" style="109" customWidth="1"/>
    <col min="15624" max="15624" width="22" style="109" bestFit="1" customWidth="1"/>
    <col min="15625" max="15872" width="9.109375" style="109"/>
    <col min="15873" max="15873" width="6.5546875" style="109" bestFit="1" customWidth="1"/>
    <col min="15874" max="15874" width="19.44140625" style="109" bestFit="1" customWidth="1"/>
    <col min="15875" max="15875" width="9.109375" style="109"/>
    <col min="15876" max="15876" width="5.5546875" style="109" bestFit="1" customWidth="1"/>
    <col min="15877" max="15877" width="23.6640625" style="109" bestFit="1" customWidth="1"/>
    <col min="15878" max="15878" width="0" style="109" hidden="1" customWidth="1"/>
    <col min="15879" max="15879" width="23.5546875" style="109" customWidth="1"/>
    <col min="15880" max="15880" width="22" style="109" bestFit="1" customWidth="1"/>
    <col min="15881" max="16128" width="9.109375" style="109"/>
    <col min="16129" max="16129" width="6.5546875" style="109" bestFit="1" customWidth="1"/>
    <col min="16130" max="16130" width="19.44140625" style="109" bestFit="1" customWidth="1"/>
    <col min="16131" max="16131" width="9.109375" style="109"/>
    <col min="16132" max="16132" width="5.5546875" style="109" bestFit="1" customWidth="1"/>
    <col min="16133" max="16133" width="23.6640625" style="109" bestFit="1" customWidth="1"/>
    <col min="16134" max="16134" width="0" style="109" hidden="1" customWidth="1"/>
    <col min="16135" max="16135" width="23.5546875" style="109" customWidth="1"/>
    <col min="16136" max="16136" width="22" style="109" bestFit="1" customWidth="1"/>
    <col min="16137" max="16384" width="9.109375" style="109"/>
  </cols>
  <sheetData>
    <row r="4" spans="4:7">
      <c r="D4" s="162" t="s">
        <v>205</v>
      </c>
      <c r="E4" s="162" t="s">
        <v>220</v>
      </c>
      <c r="F4" s="162" t="s">
        <v>221</v>
      </c>
      <c r="G4" s="162" t="s">
        <v>222</v>
      </c>
    </row>
    <row r="5" spans="4:7">
      <c r="D5" s="162">
        <v>1</v>
      </c>
      <c r="E5" s="163">
        <v>264293</v>
      </c>
      <c r="F5" s="163">
        <f>E5/10000</f>
        <v>26.429300000000001</v>
      </c>
      <c r="G5" s="164">
        <f>E5/(1000*1000)</f>
        <v>0.264293</v>
      </c>
    </row>
    <row r="6" spans="4:7">
      <c r="D6" s="162">
        <v>2</v>
      </c>
      <c r="E6" s="163">
        <v>173808</v>
      </c>
      <c r="F6" s="163">
        <f>E6/10000</f>
        <v>17.380800000000001</v>
      </c>
      <c r="G6" s="164">
        <f>E6/(1000*1000)</f>
        <v>0.17380799999999999</v>
      </c>
    </row>
    <row r="11" spans="4:7">
      <c r="G11" s="109">
        <f>1232*7.5</f>
        <v>9240</v>
      </c>
    </row>
    <row r="12" spans="4:7">
      <c r="G12" s="109">
        <f>G11-G13</f>
        <v>2700</v>
      </c>
    </row>
    <row r="13" spans="4:7">
      <c r="G13" s="109">
        <v>6540</v>
      </c>
    </row>
    <row r="14" spans="4:7">
      <c r="G14" s="109">
        <f>G12/1232</f>
        <v>2.1915584415584415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39"/>
  <sheetViews>
    <sheetView showGridLines="0" view="pageBreakPreview" zoomScaleNormal="85" zoomScaleSheetLayoutView="100" workbookViewId="0">
      <pane ySplit="5" topLeftCell="A6" activePane="bottomLeft" state="frozen"/>
      <selection activeCell="D21" sqref="D21"/>
      <selection pane="bottomLeft" activeCell="D21" sqref="D21"/>
    </sheetView>
  </sheetViews>
  <sheetFormatPr defaultColWidth="11.44140625" defaultRowHeight="15.6"/>
  <cols>
    <col min="1" max="2" width="2.6640625" style="270" customWidth="1"/>
    <col min="3" max="3" width="4.88671875" style="270" bestFit="1" customWidth="1"/>
    <col min="4" max="5" width="2.6640625" style="270" customWidth="1"/>
    <col min="6" max="6" width="6" style="270" customWidth="1"/>
    <col min="7" max="7" width="7.44140625" style="270" bestFit="1" customWidth="1"/>
    <col min="8" max="8" width="9.44140625" style="270" bestFit="1" customWidth="1"/>
    <col min="9" max="9" width="5.33203125" style="270" bestFit="1" customWidth="1"/>
    <col min="10" max="10" width="7.109375" style="270" bestFit="1" customWidth="1"/>
    <col min="11" max="11" width="4.88671875" style="270" bestFit="1" customWidth="1"/>
    <col min="12" max="12" width="6.5546875" style="270" bestFit="1" customWidth="1"/>
    <col min="13" max="13" width="9.33203125" style="270" customWidth="1"/>
    <col min="14" max="14" width="7.33203125" style="270" customWidth="1"/>
    <col min="15" max="15" width="9.44140625" style="270" bestFit="1" customWidth="1"/>
    <col min="16" max="16" width="7.109375" style="270" bestFit="1" customWidth="1"/>
    <col min="17" max="17" width="11.33203125" style="270" bestFit="1" customWidth="1"/>
    <col min="18" max="18" width="7.6640625" style="270" bestFit="1" customWidth="1"/>
    <col min="19" max="19" width="12" style="270" customWidth="1"/>
    <col min="20" max="20" width="8.88671875" style="270" customWidth="1"/>
    <col min="21" max="21" width="8.5546875" style="270" customWidth="1"/>
    <col min="22" max="22" width="8.44140625" style="270" customWidth="1"/>
    <col min="23" max="23" width="9.109375" style="270" bestFit="1" customWidth="1"/>
    <col min="24" max="24" width="8.5546875" style="270" bestFit="1" customWidth="1"/>
    <col min="25" max="25" width="8.109375" style="270" bestFit="1" customWidth="1"/>
    <col min="26" max="26" width="8.44140625" style="270" customWidth="1"/>
    <col min="27" max="27" width="7.33203125" style="270" customWidth="1"/>
    <col min="28" max="28" width="6" style="270" customWidth="1"/>
    <col min="29" max="29" width="6.88671875" style="270" customWidth="1"/>
    <col min="30" max="30" width="7.5546875" style="270" bestFit="1" customWidth="1"/>
    <col min="31" max="31" width="7.44140625" style="270" customWidth="1"/>
    <col min="32" max="32" width="22.44140625" style="270" customWidth="1"/>
    <col min="33" max="33" width="26" style="270" bestFit="1" customWidth="1"/>
    <col min="34" max="34" width="11.6640625" style="270" bestFit="1" customWidth="1"/>
    <col min="35" max="35" width="3.33203125" style="270" bestFit="1" customWidth="1"/>
    <col min="36" max="36" width="4.6640625" style="270" bestFit="1" customWidth="1"/>
    <col min="37" max="37" width="16.109375" style="270" bestFit="1" customWidth="1"/>
    <col min="38" max="38" width="3.33203125" style="270" bestFit="1" customWidth="1"/>
    <col min="39" max="39" width="5.88671875" style="270" bestFit="1" customWidth="1"/>
    <col min="40" max="41" width="11.44140625" style="270"/>
    <col min="42" max="42" width="19" style="270" customWidth="1"/>
    <col min="43" max="255" width="11.44140625" style="270"/>
    <col min="256" max="257" width="2.6640625" style="270" customWidth="1"/>
    <col min="258" max="258" width="4.88671875" style="270" bestFit="1" customWidth="1"/>
    <col min="259" max="260" width="2.6640625" style="270" customWidth="1"/>
    <col min="261" max="261" width="4.88671875" style="270" bestFit="1" customWidth="1"/>
    <col min="262" max="262" width="7.44140625" style="270" bestFit="1" customWidth="1"/>
    <col min="263" max="263" width="7.88671875" style="270" bestFit="1" customWidth="1"/>
    <col min="264" max="264" width="5.33203125" style="270" bestFit="1" customWidth="1"/>
    <col min="265" max="265" width="6.5546875" style="270" bestFit="1" customWidth="1"/>
    <col min="266" max="266" width="4.88671875" style="270" bestFit="1" customWidth="1"/>
    <col min="267" max="267" width="6.5546875" style="270" bestFit="1" customWidth="1"/>
    <col min="268" max="268" width="9.33203125" style="270" customWidth="1"/>
    <col min="269" max="269" width="7.33203125" style="270" customWidth="1"/>
    <col min="270" max="270" width="9.44140625" style="270" bestFit="1" customWidth="1"/>
    <col min="271" max="271" width="7.109375" style="270" bestFit="1" customWidth="1"/>
    <col min="272" max="272" width="11.33203125" style="270" bestFit="1" customWidth="1"/>
    <col min="273" max="273" width="7.6640625" style="270" bestFit="1" customWidth="1"/>
    <col min="274" max="274" width="10" style="270" bestFit="1" customWidth="1"/>
    <col min="275" max="275" width="8.88671875" style="270" customWidth="1"/>
    <col min="276" max="276" width="8.5546875" style="270" customWidth="1"/>
    <col min="277" max="277" width="6.6640625" style="270" customWidth="1"/>
    <col min="278" max="278" width="9.109375" style="270" bestFit="1" customWidth="1"/>
    <col min="279" max="279" width="8.5546875" style="270" bestFit="1" customWidth="1"/>
    <col min="280" max="280" width="8.109375" style="270" bestFit="1" customWidth="1"/>
    <col min="281" max="281" width="8.44140625" style="270" customWidth="1"/>
    <col min="282" max="282" width="7.33203125" style="270" customWidth="1"/>
    <col min="283" max="283" width="6" style="270" customWidth="1"/>
    <col min="284" max="284" width="6.88671875" style="270" customWidth="1"/>
    <col min="285" max="285" width="7.5546875" style="270" bestFit="1" customWidth="1"/>
    <col min="286" max="286" width="7.44140625" style="270" customWidth="1"/>
    <col min="287" max="287" width="8" style="270" customWidth="1"/>
    <col min="288" max="288" width="22.44140625" style="270" customWidth="1"/>
    <col min="289" max="289" width="26" style="270" bestFit="1" customWidth="1"/>
    <col min="290" max="290" width="11.6640625" style="270" bestFit="1" customWidth="1"/>
    <col min="291" max="291" width="3.33203125" style="270" bestFit="1" customWidth="1"/>
    <col min="292" max="292" width="4.6640625" style="270" bestFit="1" customWidth="1"/>
    <col min="293" max="293" width="16.109375" style="270" bestFit="1" customWidth="1"/>
    <col min="294" max="294" width="3.33203125" style="270" bestFit="1" customWidth="1"/>
    <col min="295" max="295" width="5.88671875" style="270" bestFit="1" customWidth="1"/>
    <col min="296" max="297" width="11.44140625" style="270"/>
    <col min="298" max="298" width="19" style="270" customWidth="1"/>
    <col min="299" max="511" width="11.44140625" style="270"/>
    <col min="512" max="513" width="2.6640625" style="270" customWidth="1"/>
    <col min="514" max="514" width="4.88671875" style="270" bestFit="1" customWidth="1"/>
    <col min="515" max="516" width="2.6640625" style="270" customWidth="1"/>
    <col min="517" max="517" width="4.88671875" style="270" bestFit="1" customWidth="1"/>
    <col min="518" max="518" width="7.44140625" style="270" bestFit="1" customWidth="1"/>
    <col min="519" max="519" width="7.88671875" style="270" bestFit="1" customWidth="1"/>
    <col min="520" max="520" width="5.33203125" style="270" bestFit="1" customWidth="1"/>
    <col min="521" max="521" width="6.5546875" style="270" bestFit="1" customWidth="1"/>
    <col min="522" max="522" width="4.88671875" style="270" bestFit="1" customWidth="1"/>
    <col min="523" max="523" width="6.5546875" style="270" bestFit="1" customWidth="1"/>
    <col min="524" max="524" width="9.33203125" style="270" customWidth="1"/>
    <col min="525" max="525" width="7.33203125" style="270" customWidth="1"/>
    <col min="526" max="526" width="9.44140625" style="270" bestFit="1" customWidth="1"/>
    <col min="527" max="527" width="7.109375" style="270" bestFit="1" customWidth="1"/>
    <col min="528" max="528" width="11.33203125" style="270" bestFit="1" customWidth="1"/>
    <col min="529" max="529" width="7.6640625" style="270" bestFit="1" customWidth="1"/>
    <col min="530" max="530" width="10" style="270" bestFit="1" customWidth="1"/>
    <col min="531" max="531" width="8.88671875" style="270" customWidth="1"/>
    <col min="532" max="532" width="8.5546875" style="270" customWidth="1"/>
    <col min="533" max="533" width="6.6640625" style="270" customWidth="1"/>
    <col min="534" max="534" width="9.109375" style="270" bestFit="1" customWidth="1"/>
    <col min="535" max="535" width="8.5546875" style="270" bestFit="1" customWidth="1"/>
    <col min="536" max="536" width="8.109375" style="270" bestFit="1" customWidth="1"/>
    <col min="537" max="537" width="8.44140625" style="270" customWidth="1"/>
    <col min="538" max="538" width="7.33203125" style="270" customWidth="1"/>
    <col min="539" max="539" width="6" style="270" customWidth="1"/>
    <col min="540" max="540" width="6.88671875" style="270" customWidth="1"/>
    <col min="541" max="541" width="7.5546875" style="270" bestFit="1" customWidth="1"/>
    <col min="542" max="542" width="7.44140625" style="270" customWidth="1"/>
    <col min="543" max="543" width="8" style="270" customWidth="1"/>
    <col min="544" max="544" width="22.44140625" style="270" customWidth="1"/>
    <col min="545" max="545" width="26" style="270" bestFit="1" customWidth="1"/>
    <col min="546" max="546" width="11.6640625" style="270" bestFit="1" customWidth="1"/>
    <col min="547" max="547" width="3.33203125" style="270" bestFit="1" customWidth="1"/>
    <col min="548" max="548" width="4.6640625" style="270" bestFit="1" customWidth="1"/>
    <col min="549" max="549" width="16.109375" style="270" bestFit="1" customWidth="1"/>
    <col min="550" max="550" width="3.33203125" style="270" bestFit="1" customWidth="1"/>
    <col min="551" max="551" width="5.88671875" style="270" bestFit="1" customWidth="1"/>
    <col min="552" max="553" width="11.44140625" style="270"/>
    <col min="554" max="554" width="19" style="270" customWidth="1"/>
    <col min="555" max="767" width="11.44140625" style="270"/>
    <col min="768" max="769" width="2.6640625" style="270" customWidth="1"/>
    <col min="770" max="770" width="4.88671875" style="270" bestFit="1" customWidth="1"/>
    <col min="771" max="772" width="2.6640625" style="270" customWidth="1"/>
    <col min="773" max="773" width="4.88671875" style="270" bestFit="1" customWidth="1"/>
    <col min="774" max="774" width="7.44140625" style="270" bestFit="1" customWidth="1"/>
    <col min="775" max="775" width="7.88671875" style="270" bestFit="1" customWidth="1"/>
    <col min="776" max="776" width="5.33203125" style="270" bestFit="1" customWidth="1"/>
    <col min="777" max="777" width="6.5546875" style="270" bestFit="1" customWidth="1"/>
    <col min="778" max="778" width="4.88671875" style="270" bestFit="1" customWidth="1"/>
    <col min="779" max="779" width="6.5546875" style="270" bestFit="1" customWidth="1"/>
    <col min="780" max="780" width="9.33203125" style="270" customWidth="1"/>
    <col min="781" max="781" width="7.33203125" style="270" customWidth="1"/>
    <col min="782" max="782" width="9.44140625" style="270" bestFit="1" customWidth="1"/>
    <col min="783" max="783" width="7.109375" style="270" bestFit="1" customWidth="1"/>
    <col min="784" max="784" width="11.33203125" style="270" bestFit="1" customWidth="1"/>
    <col min="785" max="785" width="7.6640625" style="270" bestFit="1" customWidth="1"/>
    <col min="786" max="786" width="10" style="270" bestFit="1" customWidth="1"/>
    <col min="787" max="787" width="8.88671875" style="270" customWidth="1"/>
    <col min="788" max="788" width="8.5546875" style="270" customWidth="1"/>
    <col min="789" max="789" width="6.6640625" style="270" customWidth="1"/>
    <col min="790" max="790" width="9.109375" style="270" bestFit="1" customWidth="1"/>
    <col min="791" max="791" width="8.5546875" style="270" bestFit="1" customWidth="1"/>
    <col min="792" max="792" width="8.109375" style="270" bestFit="1" customWidth="1"/>
    <col min="793" max="793" width="8.44140625" style="270" customWidth="1"/>
    <col min="794" max="794" width="7.33203125" style="270" customWidth="1"/>
    <col min="795" max="795" width="6" style="270" customWidth="1"/>
    <col min="796" max="796" width="6.88671875" style="270" customWidth="1"/>
    <col min="797" max="797" width="7.5546875" style="270" bestFit="1" customWidth="1"/>
    <col min="798" max="798" width="7.44140625" style="270" customWidth="1"/>
    <col min="799" max="799" width="8" style="270" customWidth="1"/>
    <col min="800" max="800" width="22.44140625" style="270" customWidth="1"/>
    <col min="801" max="801" width="26" style="270" bestFit="1" customWidth="1"/>
    <col min="802" max="802" width="11.6640625" style="270" bestFit="1" customWidth="1"/>
    <col min="803" max="803" width="3.33203125" style="270" bestFit="1" customWidth="1"/>
    <col min="804" max="804" width="4.6640625" style="270" bestFit="1" customWidth="1"/>
    <col min="805" max="805" width="16.109375" style="270" bestFit="1" customWidth="1"/>
    <col min="806" max="806" width="3.33203125" style="270" bestFit="1" customWidth="1"/>
    <col min="807" max="807" width="5.88671875" style="270" bestFit="1" customWidth="1"/>
    <col min="808" max="809" width="11.44140625" style="270"/>
    <col min="810" max="810" width="19" style="270" customWidth="1"/>
    <col min="811" max="1023" width="11.44140625" style="270"/>
    <col min="1024" max="1025" width="2.6640625" style="270" customWidth="1"/>
    <col min="1026" max="1026" width="4.88671875" style="270" bestFit="1" customWidth="1"/>
    <col min="1027" max="1028" width="2.6640625" style="270" customWidth="1"/>
    <col min="1029" max="1029" width="4.88671875" style="270" bestFit="1" customWidth="1"/>
    <col min="1030" max="1030" width="7.44140625" style="270" bestFit="1" customWidth="1"/>
    <col min="1031" max="1031" width="7.88671875" style="270" bestFit="1" customWidth="1"/>
    <col min="1032" max="1032" width="5.33203125" style="270" bestFit="1" customWidth="1"/>
    <col min="1033" max="1033" width="6.5546875" style="270" bestFit="1" customWidth="1"/>
    <col min="1034" max="1034" width="4.88671875" style="270" bestFit="1" customWidth="1"/>
    <col min="1035" max="1035" width="6.5546875" style="270" bestFit="1" customWidth="1"/>
    <col min="1036" max="1036" width="9.33203125" style="270" customWidth="1"/>
    <col min="1037" max="1037" width="7.33203125" style="270" customWidth="1"/>
    <col min="1038" max="1038" width="9.44140625" style="270" bestFit="1" customWidth="1"/>
    <col min="1039" max="1039" width="7.109375" style="270" bestFit="1" customWidth="1"/>
    <col min="1040" max="1040" width="11.33203125" style="270" bestFit="1" customWidth="1"/>
    <col min="1041" max="1041" width="7.6640625" style="270" bestFit="1" customWidth="1"/>
    <col min="1042" max="1042" width="10" style="270" bestFit="1" customWidth="1"/>
    <col min="1043" max="1043" width="8.88671875" style="270" customWidth="1"/>
    <col min="1044" max="1044" width="8.5546875" style="270" customWidth="1"/>
    <col min="1045" max="1045" width="6.6640625" style="270" customWidth="1"/>
    <col min="1046" max="1046" width="9.109375" style="270" bestFit="1" customWidth="1"/>
    <col min="1047" max="1047" width="8.5546875" style="270" bestFit="1" customWidth="1"/>
    <col min="1048" max="1048" width="8.109375" style="270" bestFit="1" customWidth="1"/>
    <col min="1049" max="1049" width="8.44140625" style="270" customWidth="1"/>
    <col min="1050" max="1050" width="7.33203125" style="270" customWidth="1"/>
    <col min="1051" max="1051" width="6" style="270" customWidth="1"/>
    <col min="1052" max="1052" width="6.88671875" style="270" customWidth="1"/>
    <col min="1053" max="1053" width="7.5546875" style="270" bestFit="1" customWidth="1"/>
    <col min="1054" max="1054" width="7.44140625" style="270" customWidth="1"/>
    <col min="1055" max="1055" width="8" style="270" customWidth="1"/>
    <col min="1056" max="1056" width="22.44140625" style="270" customWidth="1"/>
    <col min="1057" max="1057" width="26" style="270" bestFit="1" customWidth="1"/>
    <col min="1058" max="1058" width="11.6640625" style="270" bestFit="1" customWidth="1"/>
    <col min="1059" max="1059" width="3.33203125" style="270" bestFit="1" customWidth="1"/>
    <col min="1060" max="1060" width="4.6640625" style="270" bestFit="1" customWidth="1"/>
    <col min="1061" max="1061" width="16.109375" style="270" bestFit="1" customWidth="1"/>
    <col min="1062" max="1062" width="3.33203125" style="270" bestFit="1" customWidth="1"/>
    <col min="1063" max="1063" width="5.88671875" style="270" bestFit="1" customWidth="1"/>
    <col min="1064" max="1065" width="11.44140625" style="270"/>
    <col min="1066" max="1066" width="19" style="270" customWidth="1"/>
    <col min="1067" max="1279" width="11.44140625" style="270"/>
    <col min="1280" max="1281" width="2.6640625" style="270" customWidth="1"/>
    <col min="1282" max="1282" width="4.88671875" style="270" bestFit="1" customWidth="1"/>
    <col min="1283" max="1284" width="2.6640625" style="270" customWidth="1"/>
    <col min="1285" max="1285" width="4.88671875" style="270" bestFit="1" customWidth="1"/>
    <col min="1286" max="1286" width="7.44140625" style="270" bestFit="1" customWidth="1"/>
    <col min="1287" max="1287" width="7.88671875" style="270" bestFit="1" customWidth="1"/>
    <col min="1288" max="1288" width="5.33203125" style="270" bestFit="1" customWidth="1"/>
    <col min="1289" max="1289" width="6.5546875" style="270" bestFit="1" customWidth="1"/>
    <col min="1290" max="1290" width="4.88671875" style="270" bestFit="1" customWidth="1"/>
    <col min="1291" max="1291" width="6.5546875" style="270" bestFit="1" customWidth="1"/>
    <col min="1292" max="1292" width="9.33203125" style="270" customWidth="1"/>
    <col min="1293" max="1293" width="7.33203125" style="270" customWidth="1"/>
    <col min="1294" max="1294" width="9.44140625" style="270" bestFit="1" customWidth="1"/>
    <col min="1295" max="1295" width="7.109375" style="270" bestFit="1" customWidth="1"/>
    <col min="1296" max="1296" width="11.33203125" style="270" bestFit="1" customWidth="1"/>
    <col min="1297" max="1297" width="7.6640625" style="270" bestFit="1" customWidth="1"/>
    <col min="1298" max="1298" width="10" style="270" bestFit="1" customWidth="1"/>
    <col min="1299" max="1299" width="8.88671875" style="270" customWidth="1"/>
    <col min="1300" max="1300" width="8.5546875" style="270" customWidth="1"/>
    <col min="1301" max="1301" width="6.6640625" style="270" customWidth="1"/>
    <col min="1302" max="1302" width="9.109375" style="270" bestFit="1" customWidth="1"/>
    <col min="1303" max="1303" width="8.5546875" style="270" bestFit="1" customWidth="1"/>
    <col min="1304" max="1304" width="8.109375" style="270" bestFit="1" customWidth="1"/>
    <col min="1305" max="1305" width="8.44140625" style="270" customWidth="1"/>
    <col min="1306" max="1306" width="7.33203125" style="270" customWidth="1"/>
    <col min="1307" max="1307" width="6" style="270" customWidth="1"/>
    <col min="1308" max="1308" width="6.88671875" style="270" customWidth="1"/>
    <col min="1309" max="1309" width="7.5546875" style="270" bestFit="1" customWidth="1"/>
    <col min="1310" max="1310" width="7.44140625" style="270" customWidth="1"/>
    <col min="1311" max="1311" width="8" style="270" customWidth="1"/>
    <col min="1312" max="1312" width="22.44140625" style="270" customWidth="1"/>
    <col min="1313" max="1313" width="26" style="270" bestFit="1" customWidth="1"/>
    <col min="1314" max="1314" width="11.6640625" style="270" bestFit="1" customWidth="1"/>
    <col min="1315" max="1315" width="3.33203125" style="270" bestFit="1" customWidth="1"/>
    <col min="1316" max="1316" width="4.6640625" style="270" bestFit="1" customWidth="1"/>
    <col min="1317" max="1317" width="16.109375" style="270" bestFit="1" customWidth="1"/>
    <col min="1318" max="1318" width="3.33203125" style="270" bestFit="1" customWidth="1"/>
    <col min="1319" max="1319" width="5.88671875" style="270" bestFit="1" customWidth="1"/>
    <col min="1320" max="1321" width="11.44140625" style="270"/>
    <col min="1322" max="1322" width="19" style="270" customWidth="1"/>
    <col min="1323" max="1535" width="11.44140625" style="270"/>
    <col min="1536" max="1537" width="2.6640625" style="270" customWidth="1"/>
    <col min="1538" max="1538" width="4.88671875" style="270" bestFit="1" customWidth="1"/>
    <col min="1539" max="1540" width="2.6640625" style="270" customWidth="1"/>
    <col min="1541" max="1541" width="4.88671875" style="270" bestFit="1" customWidth="1"/>
    <col min="1542" max="1542" width="7.44140625" style="270" bestFit="1" customWidth="1"/>
    <col min="1543" max="1543" width="7.88671875" style="270" bestFit="1" customWidth="1"/>
    <col min="1544" max="1544" width="5.33203125" style="270" bestFit="1" customWidth="1"/>
    <col min="1545" max="1545" width="6.5546875" style="270" bestFit="1" customWidth="1"/>
    <col min="1546" max="1546" width="4.88671875" style="270" bestFit="1" customWidth="1"/>
    <col min="1547" max="1547" width="6.5546875" style="270" bestFit="1" customWidth="1"/>
    <col min="1548" max="1548" width="9.33203125" style="270" customWidth="1"/>
    <col min="1549" max="1549" width="7.33203125" style="270" customWidth="1"/>
    <col min="1550" max="1550" width="9.44140625" style="270" bestFit="1" customWidth="1"/>
    <col min="1551" max="1551" width="7.109375" style="270" bestFit="1" customWidth="1"/>
    <col min="1552" max="1552" width="11.33203125" style="270" bestFit="1" customWidth="1"/>
    <col min="1553" max="1553" width="7.6640625" style="270" bestFit="1" customWidth="1"/>
    <col min="1554" max="1554" width="10" style="270" bestFit="1" customWidth="1"/>
    <col min="1555" max="1555" width="8.88671875" style="270" customWidth="1"/>
    <col min="1556" max="1556" width="8.5546875" style="270" customWidth="1"/>
    <col min="1557" max="1557" width="6.6640625" style="270" customWidth="1"/>
    <col min="1558" max="1558" width="9.109375" style="270" bestFit="1" customWidth="1"/>
    <col min="1559" max="1559" width="8.5546875" style="270" bestFit="1" customWidth="1"/>
    <col min="1560" max="1560" width="8.109375" style="270" bestFit="1" customWidth="1"/>
    <col min="1561" max="1561" width="8.44140625" style="270" customWidth="1"/>
    <col min="1562" max="1562" width="7.33203125" style="270" customWidth="1"/>
    <col min="1563" max="1563" width="6" style="270" customWidth="1"/>
    <col min="1564" max="1564" width="6.88671875" style="270" customWidth="1"/>
    <col min="1565" max="1565" width="7.5546875" style="270" bestFit="1" customWidth="1"/>
    <col min="1566" max="1566" width="7.44140625" style="270" customWidth="1"/>
    <col min="1567" max="1567" width="8" style="270" customWidth="1"/>
    <col min="1568" max="1568" width="22.44140625" style="270" customWidth="1"/>
    <col min="1569" max="1569" width="26" style="270" bestFit="1" customWidth="1"/>
    <col min="1570" max="1570" width="11.6640625" style="270" bestFit="1" customWidth="1"/>
    <col min="1571" max="1571" width="3.33203125" style="270" bestFit="1" customWidth="1"/>
    <col min="1572" max="1572" width="4.6640625" style="270" bestFit="1" customWidth="1"/>
    <col min="1573" max="1573" width="16.109375" style="270" bestFit="1" customWidth="1"/>
    <col min="1574" max="1574" width="3.33203125" style="270" bestFit="1" customWidth="1"/>
    <col min="1575" max="1575" width="5.88671875" style="270" bestFit="1" customWidth="1"/>
    <col min="1576" max="1577" width="11.44140625" style="270"/>
    <col min="1578" max="1578" width="19" style="270" customWidth="1"/>
    <col min="1579" max="1791" width="11.44140625" style="270"/>
    <col min="1792" max="1793" width="2.6640625" style="270" customWidth="1"/>
    <col min="1794" max="1794" width="4.88671875" style="270" bestFit="1" customWidth="1"/>
    <col min="1795" max="1796" width="2.6640625" style="270" customWidth="1"/>
    <col min="1797" max="1797" width="4.88671875" style="270" bestFit="1" customWidth="1"/>
    <col min="1798" max="1798" width="7.44140625" style="270" bestFit="1" customWidth="1"/>
    <col min="1799" max="1799" width="7.88671875" style="270" bestFit="1" customWidth="1"/>
    <col min="1800" max="1800" width="5.33203125" style="270" bestFit="1" customWidth="1"/>
    <col min="1801" max="1801" width="6.5546875" style="270" bestFit="1" customWidth="1"/>
    <col min="1802" max="1802" width="4.88671875" style="270" bestFit="1" customWidth="1"/>
    <col min="1803" max="1803" width="6.5546875" style="270" bestFit="1" customWidth="1"/>
    <col min="1804" max="1804" width="9.33203125" style="270" customWidth="1"/>
    <col min="1805" max="1805" width="7.33203125" style="270" customWidth="1"/>
    <col min="1806" max="1806" width="9.44140625" style="270" bestFit="1" customWidth="1"/>
    <col min="1807" max="1807" width="7.109375" style="270" bestFit="1" customWidth="1"/>
    <col min="1808" max="1808" width="11.33203125" style="270" bestFit="1" customWidth="1"/>
    <col min="1809" max="1809" width="7.6640625" style="270" bestFit="1" customWidth="1"/>
    <col min="1810" max="1810" width="10" style="270" bestFit="1" customWidth="1"/>
    <col min="1811" max="1811" width="8.88671875" style="270" customWidth="1"/>
    <col min="1812" max="1812" width="8.5546875" style="270" customWidth="1"/>
    <col min="1813" max="1813" width="6.6640625" style="270" customWidth="1"/>
    <col min="1814" max="1814" width="9.109375" style="270" bestFit="1" customWidth="1"/>
    <col min="1815" max="1815" width="8.5546875" style="270" bestFit="1" customWidth="1"/>
    <col min="1816" max="1816" width="8.109375" style="270" bestFit="1" customWidth="1"/>
    <col min="1817" max="1817" width="8.44140625" style="270" customWidth="1"/>
    <col min="1818" max="1818" width="7.33203125" style="270" customWidth="1"/>
    <col min="1819" max="1819" width="6" style="270" customWidth="1"/>
    <col min="1820" max="1820" width="6.88671875" style="270" customWidth="1"/>
    <col min="1821" max="1821" width="7.5546875" style="270" bestFit="1" customWidth="1"/>
    <col min="1822" max="1822" width="7.44140625" style="270" customWidth="1"/>
    <col min="1823" max="1823" width="8" style="270" customWidth="1"/>
    <col min="1824" max="1824" width="22.44140625" style="270" customWidth="1"/>
    <col min="1825" max="1825" width="26" style="270" bestFit="1" customWidth="1"/>
    <col min="1826" max="1826" width="11.6640625" style="270" bestFit="1" customWidth="1"/>
    <col min="1827" max="1827" width="3.33203125" style="270" bestFit="1" customWidth="1"/>
    <col min="1828" max="1828" width="4.6640625" style="270" bestFit="1" customWidth="1"/>
    <col min="1829" max="1829" width="16.109375" style="270" bestFit="1" customWidth="1"/>
    <col min="1830" max="1830" width="3.33203125" style="270" bestFit="1" customWidth="1"/>
    <col min="1831" max="1831" width="5.88671875" style="270" bestFit="1" customWidth="1"/>
    <col min="1832" max="1833" width="11.44140625" style="270"/>
    <col min="1834" max="1834" width="19" style="270" customWidth="1"/>
    <col min="1835" max="2047" width="11.44140625" style="270"/>
    <col min="2048" max="2049" width="2.6640625" style="270" customWidth="1"/>
    <col min="2050" max="2050" width="4.88671875" style="270" bestFit="1" customWidth="1"/>
    <col min="2051" max="2052" width="2.6640625" style="270" customWidth="1"/>
    <col min="2053" max="2053" width="4.88671875" style="270" bestFit="1" customWidth="1"/>
    <col min="2054" max="2054" width="7.44140625" style="270" bestFit="1" customWidth="1"/>
    <col min="2055" max="2055" width="7.88671875" style="270" bestFit="1" customWidth="1"/>
    <col min="2056" max="2056" width="5.33203125" style="270" bestFit="1" customWidth="1"/>
    <col min="2057" max="2057" width="6.5546875" style="270" bestFit="1" customWidth="1"/>
    <col min="2058" max="2058" width="4.88671875" style="270" bestFit="1" customWidth="1"/>
    <col min="2059" max="2059" width="6.5546875" style="270" bestFit="1" customWidth="1"/>
    <col min="2060" max="2060" width="9.33203125" style="270" customWidth="1"/>
    <col min="2061" max="2061" width="7.33203125" style="270" customWidth="1"/>
    <col min="2062" max="2062" width="9.44140625" style="270" bestFit="1" customWidth="1"/>
    <col min="2063" max="2063" width="7.109375" style="270" bestFit="1" customWidth="1"/>
    <col min="2064" max="2064" width="11.33203125" style="270" bestFit="1" customWidth="1"/>
    <col min="2065" max="2065" width="7.6640625" style="270" bestFit="1" customWidth="1"/>
    <col min="2066" max="2066" width="10" style="270" bestFit="1" customWidth="1"/>
    <col min="2067" max="2067" width="8.88671875" style="270" customWidth="1"/>
    <col min="2068" max="2068" width="8.5546875" style="270" customWidth="1"/>
    <col min="2069" max="2069" width="6.6640625" style="270" customWidth="1"/>
    <col min="2070" max="2070" width="9.109375" style="270" bestFit="1" customWidth="1"/>
    <col min="2071" max="2071" width="8.5546875" style="270" bestFit="1" customWidth="1"/>
    <col min="2072" max="2072" width="8.109375" style="270" bestFit="1" customWidth="1"/>
    <col min="2073" max="2073" width="8.44140625" style="270" customWidth="1"/>
    <col min="2074" max="2074" width="7.33203125" style="270" customWidth="1"/>
    <col min="2075" max="2075" width="6" style="270" customWidth="1"/>
    <col min="2076" max="2076" width="6.88671875" style="270" customWidth="1"/>
    <col min="2077" max="2077" width="7.5546875" style="270" bestFit="1" customWidth="1"/>
    <col min="2078" max="2078" width="7.44140625" style="270" customWidth="1"/>
    <col min="2079" max="2079" width="8" style="270" customWidth="1"/>
    <col min="2080" max="2080" width="22.44140625" style="270" customWidth="1"/>
    <col min="2081" max="2081" width="26" style="270" bestFit="1" customWidth="1"/>
    <col min="2082" max="2082" width="11.6640625" style="270" bestFit="1" customWidth="1"/>
    <col min="2083" max="2083" width="3.33203125" style="270" bestFit="1" customWidth="1"/>
    <col min="2084" max="2084" width="4.6640625" style="270" bestFit="1" customWidth="1"/>
    <col min="2085" max="2085" width="16.109375" style="270" bestFit="1" customWidth="1"/>
    <col min="2086" max="2086" width="3.33203125" style="270" bestFit="1" customWidth="1"/>
    <col min="2087" max="2087" width="5.88671875" style="270" bestFit="1" customWidth="1"/>
    <col min="2088" max="2089" width="11.44140625" style="270"/>
    <col min="2090" max="2090" width="19" style="270" customWidth="1"/>
    <col min="2091" max="2303" width="11.44140625" style="270"/>
    <col min="2304" max="2305" width="2.6640625" style="270" customWidth="1"/>
    <col min="2306" max="2306" width="4.88671875" style="270" bestFit="1" customWidth="1"/>
    <col min="2307" max="2308" width="2.6640625" style="270" customWidth="1"/>
    <col min="2309" max="2309" width="4.88671875" style="270" bestFit="1" customWidth="1"/>
    <col min="2310" max="2310" width="7.44140625" style="270" bestFit="1" customWidth="1"/>
    <col min="2311" max="2311" width="7.88671875" style="270" bestFit="1" customWidth="1"/>
    <col min="2312" max="2312" width="5.33203125" style="270" bestFit="1" customWidth="1"/>
    <col min="2313" max="2313" width="6.5546875" style="270" bestFit="1" customWidth="1"/>
    <col min="2314" max="2314" width="4.88671875" style="270" bestFit="1" customWidth="1"/>
    <col min="2315" max="2315" width="6.5546875" style="270" bestFit="1" customWidth="1"/>
    <col min="2316" max="2316" width="9.33203125" style="270" customWidth="1"/>
    <col min="2317" max="2317" width="7.33203125" style="270" customWidth="1"/>
    <col min="2318" max="2318" width="9.44140625" style="270" bestFit="1" customWidth="1"/>
    <col min="2319" max="2319" width="7.109375" style="270" bestFit="1" customWidth="1"/>
    <col min="2320" max="2320" width="11.33203125" style="270" bestFit="1" customWidth="1"/>
    <col min="2321" max="2321" width="7.6640625" style="270" bestFit="1" customWidth="1"/>
    <col min="2322" max="2322" width="10" style="270" bestFit="1" customWidth="1"/>
    <col min="2323" max="2323" width="8.88671875" style="270" customWidth="1"/>
    <col min="2324" max="2324" width="8.5546875" style="270" customWidth="1"/>
    <col min="2325" max="2325" width="6.6640625" style="270" customWidth="1"/>
    <col min="2326" max="2326" width="9.109375" style="270" bestFit="1" customWidth="1"/>
    <col min="2327" max="2327" width="8.5546875" style="270" bestFit="1" customWidth="1"/>
    <col min="2328" max="2328" width="8.109375" style="270" bestFit="1" customWidth="1"/>
    <col min="2329" max="2329" width="8.44140625" style="270" customWidth="1"/>
    <col min="2330" max="2330" width="7.33203125" style="270" customWidth="1"/>
    <col min="2331" max="2331" width="6" style="270" customWidth="1"/>
    <col min="2332" max="2332" width="6.88671875" style="270" customWidth="1"/>
    <col min="2333" max="2333" width="7.5546875" style="270" bestFit="1" customWidth="1"/>
    <col min="2334" max="2334" width="7.44140625" style="270" customWidth="1"/>
    <col min="2335" max="2335" width="8" style="270" customWidth="1"/>
    <col min="2336" max="2336" width="22.44140625" style="270" customWidth="1"/>
    <col min="2337" max="2337" width="26" style="270" bestFit="1" customWidth="1"/>
    <col min="2338" max="2338" width="11.6640625" style="270" bestFit="1" customWidth="1"/>
    <col min="2339" max="2339" width="3.33203125" style="270" bestFit="1" customWidth="1"/>
    <col min="2340" max="2340" width="4.6640625" style="270" bestFit="1" customWidth="1"/>
    <col min="2341" max="2341" width="16.109375" style="270" bestFit="1" customWidth="1"/>
    <col min="2342" max="2342" width="3.33203125" style="270" bestFit="1" customWidth="1"/>
    <col min="2343" max="2343" width="5.88671875" style="270" bestFit="1" customWidth="1"/>
    <col min="2344" max="2345" width="11.44140625" style="270"/>
    <col min="2346" max="2346" width="19" style="270" customWidth="1"/>
    <col min="2347" max="2559" width="11.44140625" style="270"/>
    <col min="2560" max="2561" width="2.6640625" style="270" customWidth="1"/>
    <col min="2562" max="2562" width="4.88671875" style="270" bestFit="1" customWidth="1"/>
    <col min="2563" max="2564" width="2.6640625" style="270" customWidth="1"/>
    <col min="2565" max="2565" width="4.88671875" style="270" bestFit="1" customWidth="1"/>
    <col min="2566" max="2566" width="7.44140625" style="270" bestFit="1" customWidth="1"/>
    <col min="2567" max="2567" width="7.88671875" style="270" bestFit="1" customWidth="1"/>
    <col min="2568" max="2568" width="5.33203125" style="270" bestFit="1" customWidth="1"/>
    <col min="2569" max="2569" width="6.5546875" style="270" bestFit="1" customWidth="1"/>
    <col min="2570" max="2570" width="4.88671875" style="270" bestFit="1" customWidth="1"/>
    <col min="2571" max="2571" width="6.5546875" style="270" bestFit="1" customWidth="1"/>
    <col min="2572" max="2572" width="9.33203125" style="270" customWidth="1"/>
    <col min="2573" max="2573" width="7.33203125" style="270" customWidth="1"/>
    <col min="2574" max="2574" width="9.44140625" style="270" bestFit="1" customWidth="1"/>
    <col min="2575" max="2575" width="7.109375" style="270" bestFit="1" customWidth="1"/>
    <col min="2576" max="2576" width="11.33203125" style="270" bestFit="1" customWidth="1"/>
    <col min="2577" max="2577" width="7.6640625" style="270" bestFit="1" customWidth="1"/>
    <col min="2578" max="2578" width="10" style="270" bestFit="1" customWidth="1"/>
    <col min="2579" max="2579" width="8.88671875" style="270" customWidth="1"/>
    <col min="2580" max="2580" width="8.5546875" style="270" customWidth="1"/>
    <col min="2581" max="2581" width="6.6640625" style="270" customWidth="1"/>
    <col min="2582" max="2582" width="9.109375" style="270" bestFit="1" customWidth="1"/>
    <col min="2583" max="2583" width="8.5546875" style="270" bestFit="1" customWidth="1"/>
    <col min="2584" max="2584" width="8.109375" style="270" bestFit="1" customWidth="1"/>
    <col min="2585" max="2585" width="8.44140625" style="270" customWidth="1"/>
    <col min="2586" max="2586" width="7.33203125" style="270" customWidth="1"/>
    <col min="2587" max="2587" width="6" style="270" customWidth="1"/>
    <col min="2588" max="2588" width="6.88671875" style="270" customWidth="1"/>
    <col min="2589" max="2589" width="7.5546875" style="270" bestFit="1" customWidth="1"/>
    <col min="2590" max="2590" width="7.44140625" style="270" customWidth="1"/>
    <col min="2591" max="2591" width="8" style="270" customWidth="1"/>
    <col min="2592" max="2592" width="22.44140625" style="270" customWidth="1"/>
    <col min="2593" max="2593" width="26" style="270" bestFit="1" customWidth="1"/>
    <col min="2594" max="2594" width="11.6640625" style="270" bestFit="1" customWidth="1"/>
    <col min="2595" max="2595" width="3.33203125" style="270" bestFit="1" customWidth="1"/>
    <col min="2596" max="2596" width="4.6640625" style="270" bestFit="1" customWidth="1"/>
    <col min="2597" max="2597" width="16.109375" style="270" bestFit="1" customWidth="1"/>
    <col min="2598" max="2598" width="3.33203125" style="270" bestFit="1" customWidth="1"/>
    <col min="2599" max="2599" width="5.88671875" style="270" bestFit="1" customWidth="1"/>
    <col min="2600" max="2601" width="11.44140625" style="270"/>
    <col min="2602" max="2602" width="19" style="270" customWidth="1"/>
    <col min="2603" max="2815" width="11.44140625" style="270"/>
    <col min="2816" max="2817" width="2.6640625" style="270" customWidth="1"/>
    <col min="2818" max="2818" width="4.88671875" style="270" bestFit="1" customWidth="1"/>
    <col min="2819" max="2820" width="2.6640625" style="270" customWidth="1"/>
    <col min="2821" max="2821" width="4.88671875" style="270" bestFit="1" customWidth="1"/>
    <col min="2822" max="2822" width="7.44140625" style="270" bestFit="1" customWidth="1"/>
    <col min="2823" max="2823" width="7.88671875" style="270" bestFit="1" customWidth="1"/>
    <col min="2824" max="2824" width="5.33203125" style="270" bestFit="1" customWidth="1"/>
    <col min="2825" max="2825" width="6.5546875" style="270" bestFit="1" customWidth="1"/>
    <col min="2826" max="2826" width="4.88671875" style="270" bestFit="1" customWidth="1"/>
    <col min="2827" max="2827" width="6.5546875" style="270" bestFit="1" customWidth="1"/>
    <col min="2828" max="2828" width="9.33203125" style="270" customWidth="1"/>
    <col min="2829" max="2829" width="7.33203125" style="270" customWidth="1"/>
    <col min="2830" max="2830" width="9.44140625" style="270" bestFit="1" customWidth="1"/>
    <col min="2831" max="2831" width="7.109375" style="270" bestFit="1" customWidth="1"/>
    <col min="2832" max="2832" width="11.33203125" style="270" bestFit="1" customWidth="1"/>
    <col min="2833" max="2833" width="7.6640625" style="270" bestFit="1" customWidth="1"/>
    <col min="2834" max="2834" width="10" style="270" bestFit="1" customWidth="1"/>
    <col min="2835" max="2835" width="8.88671875" style="270" customWidth="1"/>
    <col min="2836" max="2836" width="8.5546875" style="270" customWidth="1"/>
    <col min="2837" max="2837" width="6.6640625" style="270" customWidth="1"/>
    <col min="2838" max="2838" width="9.109375" style="270" bestFit="1" customWidth="1"/>
    <col min="2839" max="2839" width="8.5546875" style="270" bestFit="1" customWidth="1"/>
    <col min="2840" max="2840" width="8.109375" style="270" bestFit="1" customWidth="1"/>
    <col min="2841" max="2841" width="8.44140625" style="270" customWidth="1"/>
    <col min="2842" max="2842" width="7.33203125" style="270" customWidth="1"/>
    <col min="2843" max="2843" width="6" style="270" customWidth="1"/>
    <col min="2844" max="2844" width="6.88671875" style="270" customWidth="1"/>
    <col min="2845" max="2845" width="7.5546875" style="270" bestFit="1" customWidth="1"/>
    <col min="2846" max="2846" width="7.44140625" style="270" customWidth="1"/>
    <col min="2847" max="2847" width="8" style="270" customWidth="1"/>
    <col min="2848" max="2848" width="22.44140625" style="270" customWidth="1"/>
    <col min="2849" max="2849" width="26" style="270" bestFit="1" customWidth="1"/>
    <col min="2850" max="2850" width="11.6640625" style="270" bestFit="1" customWidth="1"/>
    <col min="2851" max="2851" width="3.33203125" style="270" bestFit="1" customWidth="1"/>
    <col min="2852" max="2852" width="4.6640625" style="270" bestFit="1" customWidth="1"/>
    <col min="2853" max="2853" width="16.109375" style="270" bestFit="1" customWidth="1"/>
    <col min="2854" max="2854" width="3.33203125" style="270" bestFit="1" customWidth="1"/>
    <col min="2855" max="2855" width="5.88671875" style="270" bestFit="1" customWidth="1"/>
    <col min="2856" max="2857" width="11.44140625" style="270"/>
    <col min="2858" max="2858" width="19" style="270" customWidth="1"/>
    <col min="2859" max="3071" width="11.44140625" style="270"/>
    <col min="3072" max="3073" width="2.6640625" style="270" customWidth="1"/>
    <col min="3074" max="3074" width="4.88671875" style="270" bestFit="1" customWidth="1"/>
    <col min="3075" max="3076" width="2.6640625" style="270" customWidth="1"/>
    <col min="3077" max="3077" width="4.88671875" style="270" bestFit="1" customWidth="1"/>
    <col min="3078" max="3078" width="7.44140625" style="270" bestFit="1" customWidth="1"/>
    <col min="3079" max="3079" width="7.88671875" style="270" bestFit="1" customWidth="1"/>
    <col min="3080" max="3080" width="5.33203125" style="270" bestFit="1" customWidth="1"/>
    <col min="3081" max="3081" width="6.5546875" style="270" bestFit="1" customWidth="1"/>
    <col min="3082" max="3082" width="4.88671875" style="270" bestFit="1" customWidth="1"/>
    <col min="3083" max="3083" width="6.5546875" style="270" bestFit="1" customWidth="1"/>
    <col min="3084" max="3084" width="9.33203125" style="270" customWidth="1"/>
    <col min="3085" max="3085" width="7.33203125" style="270" customWidth="1"/>
    <col min="3086" max="3086" width="9.44140625" style="270" bestFit="1" customWidth="1"/>
    <col min="3087" max="3087" width="7.109375" style="270" bestFit="1" customWidth="1"/>
    <col min="3088" max="3088" width="11.33203125" style="270" bestFit="1" customWidth="1"/>
    <col min="3089" max="3089" width="7.6640625" style="270" bestFit="1" customWidth="1"/>
    <col min="3090" max="3090" width="10" style="270" bestFit="1" customWidth="1"/>
    <col min="3091" max="3091" width="8.88671875" style="270" customWidth="1"/>
    <col min="3092" max="3092" width="8.5546875" style="270" customWidth="1"/>
    <col min="3093" max="3093" width="6.6640625" style="270" customWidth="1"/>
    <col min="3094" max="3094" width="9.109375" style="270" bestFit="1" customWidth="1"/>
    <col min="3095" max="3095" width="8.5546875" style="270" bestFit="1" customWidth="1"/>
    <col min="3096" max="3096" width="8.109375" style="270" bestFit="1" customWidth="1"/>
    <col min="3097" max="3097" width="8.44140625" style="270" customWidth="1"/>
    <col min="3098" max="3098" width="7.33203125" style="270" customWidth="1"/>
    <col min="3099" max="3099" width="6" style="270" customWidth="1"/>
    <col min="3100" max="3100" width="6.88671875" style="270" customWidth="1"/>
    <col min="3101" max="3101" width="7.5546875" style="270" bestFit="1" customWidth="1"/>
    <col min="3102" max="3102" width="7.44140625" style="270" customWidth="1"/>
    <col min="3103" max="3103" width="8" style="270" customWidth="1"/>
    <col min="3104" max="3104" width="22.44140625" style="270" customWidth="1"/>
    <col min="3105" max="3105" width="26" style="270" bestFit="1" customWidth="1"/>
    <col min="3106" max="3106" width="11.6640625" style="270" bestFit="1" customWidth="1"/>
    <col min="3107" max="3107" width="3.33203125" style="270" bestFit="1" customWidth="1"/>
    <col min="3108" max="3108" width="4.6640625" style="270" bestFit="1" customWidth="1"/>
    <col min="3109" max="3109" width="16.109375" style="270" bestFit="1" customWidth="1"/>
    <col min="3110" max="3110" width="3.33203125" style="270" bestFit="1" customWidth="1"/>
    <col min="3111" max="3111" width="5.88671875" style="270" bestFit="1" customWidth="1"/>
    <col min="3112" max="3113" width="11.44140625" style="270"/>
    <col min="3114" max="3114" width="19" style="270" customWidth="1"/>
    <col min="3115" max="3327" width="11.44140625" style="270"/>
    <col min="3328" max="3329" width="2.6640625" style="270" customWidth="1"/>
    <col min="3330" max="3330" width="4.88671875" style="270" bestFit="1" customWidth="1"/>
    <col min="3331" max="3332" width="2.6640625" style="270" customWidth="1"/>
    <col min="3333" max="3333" width="4.88671875" style="270" bestFit="1" customWidth="1"/>
    <col min="3334" max="3334" width="7.44140625" style="270" bestFit="1" customWidth="1"/>
    <col min="3335" max="3335" width="7.88671875" style="270" bestFit="1" customWidth="1"/>
    <col min="3336" max="3336" width="5.33203125" style="270" bestFit="1" customWidth="1"/>
    <col min="3337" max="3337" width="6.5546875" style="270" bestFit="1" customWidth="1"/>
    <col min="3338" max="3338" width="4.88671875" style="270" bestFit="1" customWidth="1"/>
    <col min="3339" max="3339" width="6.5546875" style="270" bestFit="1" customWidth="1"/>
    <col min="3340" max="3340" width="9.33203125" style="270" customWidth="1"/>
    <col min="3341" max="3341" width="7.33203125" style="270" customWidth="1"/>
    <col min="3342" max="3342" width="9.44140625" style="270" bestFit="1" customWidth="1"/>
    <col min="3343" max="3343" width="7.109375" style="270" bestFit="1" customWidth="1"/>
    <col min="3344" max="3344" width="11.33203125" style="270" bestFit="1" customWidth="1"/>
    <col min="3345" max="3345" width="7.6640625" style="270" bestFit="1" customWidth="1"/>
    <col min="3346" max="3346" width="10" style="270" bestFit="1" customWidth="1"/>
    <col min="3347" max="3347" width="8.88671875" style="270" customWidth="1"/>
    <col min="3348" max="3348" width="8.5546875" style="270" customWidth="1"/>
    <col min="3349" max="3349" width="6.6640625" style="270" customWidth="1"/>
    <col min="3350" max="3350" width="9.109375" style="270" bestFit="1" customWidth="1"/>
    <col min="3351" max="3351" width="8.5546875" style="270" bestFit="1" customWidth="1"/>
    <col min="3352" max="3352" width="8.109375" style="270" bestFit="1" customWidth="1"/>
    <col min="3353" max="3353" width="8.44140625" style="270" customWidth="1"/>
    <col min="3354" max="3354" width="7.33203125" style="270" customWidth="1"/>
    <col min="3355" max="3355" width="6" style="270" customWidth="1"/>
    <col min="3356" max="3356" width="6.88671875" style="270" customWidth="1"/>
    <col min="3357" max="3357" width="7.5546875" style="270" bestFit="1" customWidth="1"/>
    <col min="3358" max="3358" width="7.44140625" style="270" customWidth="1"/>
    <col min="3359" max="3359" width="8" style="270" customWidth="1"/>
    <col min="3360" max="3360" width="22.44140625" style="270" customWidth="1"/>
    <col min="3361" max="3361" width="26" style="270" bestFit="1" customWidth="1"/>
    <col min="3362" max="3362" width="11.6640625" style="270" bestFit="1" customWidth="1"/>
    <col min="3363" max="3363" width="3.33203125" style="270" bestFit="1" customWidth="1"/>
    <col min="3364" max="3364" width="4.6640625" style="270" bestFit="1" customWidth="1"/>
    <col min="3365" max="3365" width="16.109375" style="270" bestFit="1" customWidth="1"/>
    <col min="3366" max="3366" width="3.33203125" style="270" bestFit="1" customWidth="1"/>
    <col min="3367" max="3367" width="5.88671875" style="270" bestFit="1" customWidth="1"/>
    <col min="3368" max="3369" width="11.44140625" style="270"/>
    <col min="3370" max="3370" width="19" style="270" customWidth="1"/>
    <col min="3371" max="3583" width="11.44140625" style="270"/>
    <col min="3584" max="3585" width="2.6640625" style="270" customWidth="1"/>
    <col min="3586" max="3586" width="4.88671875" style="270" bestFit="1" customWidth="1"/>
    <col min="3587" max="3588" width="2.6640625" style="270" customWidth="1"/>
    <col min="3589" max="3589" width="4.88671875" style="270" bestFit="1" customWidth="1"/>
    <col min="3590" max="3590" width="7.44140625" style="270" bestFit="1" customWidth="1"/>
    <col min="3591" max="3591" width="7.88671875" style="270" bestFit="1" customWidth="1"/>
    <col min="3592" max="3592" width="5.33203125" style="270" bestFit="1" customWidth="1"/>
    <col min="3593" max="3593" width="6.5546875" style="270" bestFit="1" customWidth="1"/>
    <col min="3594" max="3594" width="4.88671875" style="270" bestFit="1" customWidth="1"/>
    <col min="3595" max="3595" width="6.5546875" style="270" bestFit="1" customWidth="1"/>
    <col min="3596" max="3596" width="9.33203125" style="270" customWidth="1"/>
    <col min="3597" max="3597" width="7.33203125" style="270" customWidth="1"/>
    <col min="3598" max="3598" width="9.44140625" style="270" bestFit="1" customWidth="1"/>
    <col min="3599" max="3599" width="7.109375" style="270" bestFit="1" customWidth="1"/>
    <col min="3600" max="3600" width="11.33203125" style="270" bestFit="1" customWidth="1"/>
    <col min="3601" max="3601" width="7.6640625" style="270" bestFit="1" customWidth="1"/>
    <col min="3602" max="3602" width="10" style="270" bestFit="1" customWidth="1"/>
    <col min="3603" max="3603" width="8.88671875" style="270" customWidth="1"/>
    <col min="3604" max="3604" width="8.5546875" style="270" customWidth="1"/>
    <col min="3605" max="3605" width="6.6640625" style="270" customWidth="1"/>
    <col min="3606" max="3606" width="9.109375" style="270" bestFit="1" customWidth="1"/>
    <col min="3607" max="3607" width="8.5546875" style="270" bestFit="1" customWidth="1"/>
    <col min="3608" max="3608" width="8.109375" style="270" bestFit="1" customWidth="1"/>
    <col min="3609" max="3609" width="8.44140625" style="270" customWidth="1"/>
    <col min="3610" max="3610" width="7.33203125" style="270" customWidth="1"/>
    <col min="3611" max="3611" width="6" style="270" customWidth="1"/>
    <col min="3612" max="3612" width="6.88671875" style="270" customWidth="1"/>
    <col min="3613" max="3613" width="7.5546875" style="270" bestFit="1" customWidth="1"/>
    <col min="3614" max="3614" width="7.44140625" style="270" customWidth="1"/>
    <col min="3615" max="3615" width="8" style="270" customWidth="1"/>
    <col min="3616" max="3616" width="22.44140625" style="270" customWidth="1"/>
    <col min="3617" max="3617" width="26" style="270" bestFit="1" customWidth="1"/>
    <col min="3618" max="3618" width="11.6640625" style="270" bestFit="1" customWidth="1"/>
    <col min="3619" max="3619" width="3.33203125" style="270" bestFit="1" customWidth="1"/>
    <col min="3620" max="3620" width="4.6640625" style="270" bestFit="1" customWidth="1"/>
    <col min="3621" max="3621" width="16.109375" style="270" bestFit="1" customWidth="1"/>
    <col min="3622" max="3622" width="3.33203125" style="270" bestFit="1" customWidth="1"/>
    <col min="3623" max="3623" width="5.88671875" style="270" bestFit="1" customWidth="1"/>
    <col min="3624" max="3625" width="11.44140625" style="270"/>
    <col min="3626" max="3626" width="19" style="270" customWidth="1"/>
    <col min="3627" max="3839" width="11.44140625" style="270"/>
    <col min="3840" max="3841" width="2.6640625" style="270" customWidth="1"/>
    <col min="3842" max="3842" width="4.88671875" style="270" bestFit="1" customWidth="1"/>
    <col min="3843" max="3844" width="2.6640625" style="270" customWidth="1"/>
    <col min="3845" max="3845" width="4.88671875" style="270" bestFit="1" customWidth="1"/>
    <col min="3846" max="3846" width="7.44140625" style="270" bestFit="1" customWidth="1"/>
    <col min="3847" max="3847" width="7.88671875" style="270" bestFit="1" customWidth="1"/>
    <col min="3848" max="3848" width="5.33203125" style="270" bestFit="1" customWidth="1"/>
    <col min="3849" max="3849" width="6.5546875" style="270" bestFit="1" customWidth="1"/>
    <col min="3850" max="3850" width="4.88671875" style="270" bestFit="1" customWidth="1"/>
    <col min="3851" max="3851" width="6.5546875" style="270" bestFit="1" customWidth="1"/>
    <col min="3852" max="3852" width="9.33203125" style="270" customWidth="1"/>
    <col min="3853" max="3853" width="7.33203125" style="270" customWidth="1"/>
    <col min="3854" max="3854" width="9.44140625" style="270" bestFit="1" customWidth="1"/>
    <col min="3855" max="3855" width="7.109375" style="270" bestFit="1" customWidth="1"/>
    <col min="3856" max="3856" width="11.33203125" style="270" bestFit="1" customWidth="1"/>
    <col min="3857" max="3857" width="7.6640625" style="270" bestFit="1" customWidth="1"/>
    <col min="3858" max="3858" width="10" style="270" bestFit="1" customWidth="1"/>
    <col min="3859" max="3859" width="8.88671875" style="270" customWidth="1"/>
    <col min="3860" max="3860" width="8.5546875" style="270" customWidth="1"/>
    <col min="3861" max="3861" width="6.6640625" style="270" customWidth="1"/>
    <col min="3862" max="3862" width="9.109375" style="270" bestFit="1" customWidth="1"/>
    <col min="3863" max="3863" width="8.5546875" style="270" bestFit="1" customWidth="1"/>
    <col min="3864" max="3864" width="8.109375" style="270" bestFit="1" customWidth="1"/>
    <col min="3865" max="3865" width="8.44140625" style="270" customWidth="1"/>
    <col min="3866" max="3866" width="7.33203125" style="270" customWidth="1"/>
    <col min="3867" max="3867" width="6" style="270" customWidth="1"/>
    <col min="3868" max="3868" width="6.88671875" style="270" customWidth="1"/>
    <col min="3869" max="3869" width="7.5546875" style="270" bestFit="1" customWidth="1"/>
    <col min="3870" max="3870" width="7.44140625" style="270" customWidth="1"/>
    <col min="3871" max="3871" width="8" style="270" customWidth="1"/>
    <col min="3872" max="3872" width="22.44140625" style="270" customWidth="1"/>
    <col min="3873" max="3873" width="26" style="270" bestFit="1" customWidth="1"/>
    <col min="3874" max="3874" width="11.6640625" style="270" bestFit="1" customWidth="1"/>
    <col min="3875" max="3875" width="3.33203125" style="270" bestFit="1" customWidth="1"/>
    <col min="3876" max="3876" width="4.6640625" style="270" bestFit="1" customWidth="1"/>
    <col min="3877" max="3877" width="16.109375" style="270" bestFit="1" customWidth="1"/>
    <col min="3878" max="3878" width="3.33203125" style="270" bestFit="1" customWidth="1"/>
    <col min="3879" max="3879" width="5.88671875" style="270" bestFit="1" customWidth="1"/>
    <col min="3880" max="3881" width="11.44140625" style="270"/>
    <col min="3882" max="3882" width="19" style="270" customWidth="1"/>
    <col min="3883" max="4095" width="11.44140625" style="270"/>
    <col min="4096" max="4097" width="2.6640625" style="270" customWidth="1"/>
    <col min="4098" max="4098" width="4.88671875" style="270" bestFit="1" customWidth="1"/>
    <col min="4099" max="4100" width="2.6640625" style="270" customWidth="1"/>
    <col min="4101" max="4101" width="4.88671875" style="270" bestFit="1" customWidth="1"/>
    <col min="4102" max="4102" width="7.44140625" style="270" bestFit="1" customWidth="1"/>
    <col min="4103" max="4103" width="7.88671875" style="270" bestFit="1" customWidth="1"/>
    <col min="4104" max="4104" width="5.33203125" style="270" bestFit="1" customWidth="1"/>
    <col min="4105" max="4105" width="6.5546875" style="270" bestFit="1" customWidth="1"/>
    <col min="4106" max="4106" width="4.88671875" style="270" bestFit="1" customWidth="1"/>
    <col min="4107" max="4107" width="6.5546875" style="270" bestFit="1" customWidth="1"/>
    <col min="4108" max="4108" width="9.33203125" style="270" customWidth="1"/>
    <col min="4109" max="4109" width="7.33203125" style="270" customWidth="1"/>
    <col min="4110" max="4110" width="9.44140625" style="270" bestFit="1" customWidth="1"/>
    <col min="4111" max="4111" width="7.109375" style="270" bestFit="1" customWidth="1"/>
    <col min="4112" max="4112" width="11.33203125" style="270" bestFit="1" customWidth="1"/>
    <col min="4113" max="4113" width="7.6640625" style="270" bestFit="1" customWidth="1"/>
    <col min="4114" max="4114" width="10" style="270" bestFit="1" customWidth="1"/>
    <col min="4115" max="4115" width="8.88671875" style="270" customWidth="1"/>
    <col min="4116" max="4116" width="8.5546875" style="270" customWidth="1"/>
    <col min="4117" max="4117" width="6.6640625" style="270" customWidth="1"/>
    <col min="4118" max="4118" width="9.109375" style="270" bestFit="1" customWidth="1"/>
    <col min="4119" max="4119" width="8.5546875" style="270" bestFit="1" customWidth="1"/>
    <col min="4120" max="4120" width="8.109375" style="270" bestFit="1" customWidth="1"/>
    <col min="4121" max="4121" width="8.44140625" style="270" customWidth="1"/>
    <col min="4122" max="4122" width="7.33203125" style="270" customWidth="1"/>
    <col min="4123" max="4123" width="6" style="270" customWidth="1"/>
    <col min="4124" max="4124" width="6.88671875" style="270" customWidth="1"/>
    <col min="4125" max="4125" width="7.5546875" style="270" bestFit="1" customWidth="1"/>
    <col min="4126" max="4126" width="7.44140625" style="270" customWidth="1"/>
    <col min="4127" max="4127" width="8" style="270" customWidth="1"/>
    <col min="4128" max="4128" width="22.44140625" style="270" customWidth="1"/>
    <col min="4129" max="4129" width="26" style="270" bestFit="1" customWidth="1"/>
    <col min="4130" max="4130" width="11.6640625" style="270" bestFit="1" customWidth="1"/>
    <col min="4131" max="4131" width="3.33203125" style="270" bestFit="1" customWidth="1"/>
    <col min="4132" max="4132" width="4.6640625" style="270" bestFit="1" customWidth="1"/>
    <col min="4133" max="4133" width="16.109375" style="270" bestFit="1" customWidth="1"/>
    <col min="4134" max="4134" width="3.33203125" style="270" bestFit="1" customWidth="1"/>
    <col min="4135" max="4135" width="5.88671875" style="270" bestFit="1" customWidth="1"/>
    <col min="4136" max="4137" width="11.44140625" style="270"/>
    <col min="4138" max="4138" width="19" style="270" customWidth="1"/>
    <col min="4139" max="4351" width="11.44140625" style="270"/>
    <col min="4352" max="4353" width="2.6640625" style="270" customWidth="1"/>
    <col min="4354" max="4354" width="4.88671875" style="270" bestFit="1" customWidth="1"/>
    <col min="4355" max="4356" width="2.6640625" style="270" customWidth="1"/>
    <col min="4357" max="4357" width="4.88671875" style="270" bestFit="1" customWidth="1"/>
    <col min="4358" max="4358" width="7.44140625" style="270" bestFit="1" customWidth="1"/>
    <col min="4359" max="4359" width="7.88671875" style="270" bestFit="1" customWidth="1"/>
    <col min="4360" max="4360" width="5.33203125" style="270" bestFit="1" customWidth="1"/>
    <col min="4361" max="4361" width="6.5546875" style="270" bestFit="1" customWidth="1"/>
    <col min="4362" max="4362" width="4.88671875" style="270" bestFit="1" customWidth="1"/>
    <col min="4363" max="4363" width="6.5546875" style="270" bestFit="1" customWidth="1"/>
    <col min="4364" max="4364" width="9.33203125" style="270" customWidth="1"/>
    <col min="4365" max="4365" width="7.33203125" style="270" customWidth="1"/>
    <col min="4366" max="4366" width="9.44140625" style="270" bestFit="1" customWidth="1"/>
    <col min="4367" max="4367" width="7.109375" style="270" bestFit="1" customWidth="1"/>
    <col min="4368" max="4368" width="11.33203125" style="270" bestFit="1" customWidth="1"/>
    <col min="4369" max="4369" width="7.6640625" style="270" bestFit="1" customWidth="1"/>
    <col min="4370" max="4370" width="10" style="270" bestFit="1" customWidth="1"/>
    <col min="4371" max="4371" width="8.88671875" style="270" customWidth="1"/>
    <col min="4372" max="4372" width="8.5546875" style="270" customWidth="1"/>
    <col min="4373" max="4373" width="6.6640625" style="270" customWidth="1"/>
    <col min="4374" max="4374" width="9.109375" style="270" bestFit="1" customWidth="1"/>
    <col min="4375" max="4375" width="8.5546875" style="270" bestFit="1" customWidth="1"/>
    <col min="4376" max="4376" width="8.109375" style="270" bestFit="1" customWidth="1"/>
    <col min="4377" max="4377" width="8.44140625" style="270" customWidth="1"/>
    <col min="4378" max="4378" width="7.33203125" style="270" customWidth="1"/>
    <col min="4379" max="4379" width="6" style="270" customWidth="1"/>
    <col min="4380" max="4380" width="6.88671875" style="270" customWidth="1"/>
    <col min="4381" max="4381" width="7.5546875" style="270" bestFit="1" customWidth="1"/>
    <col min="4382" max="4382" width="7.44140625" style="270" customWidth="1"/>
    <col min="4383" max="4383" width="8" style="270" customWidth="1"/>
    <col min="4384" max="4384" width="22.44140625" style="270" customWidth="1"/>
    <col min="4385" max="4385" width="26" style="270" bestFit="1" customWidth="1"/>
    <col min="4386" max="4386" width="11.6640625" style="270" bestFit="1" customWidth="1"/>
    <col min="4387" max="4387" width="3.33203125" style="270" bestFit="1" customWidth="1"/>
    <col min="4388" max="4388" width="4.6640625" style="270" bestFit="1" customWidth="1"/>
    <col min="4389" max="4389" width="16.109375" style="270" bestFit="1" customWidth="1"/>
    <col min="4390" max="4390" width="3.33203125" style="270" bestFit="1" customWidth="1"/>
    <col min="4391" max="4391" width="5.88671875" style="270" bestFit="1" customWidth="1"/>
    <col min="4392" max="4393" width="11.44140625" style="270"/>
    <col min="4394" max="4394" width="19" style="270" customWidth="1"/>
    <col min="4395" max="4607" width="11.44140625" style="270"/>
    <col min="4608" max="4609" width="2.6640625" style="270" customWidth="1"/>
    <col min="4610" max="4610" width="4.88671875" style="270" bestFit="1" customWidth="1"/>
    <col min="4611" max="4612" width="2.6640625" style="270" customWidth="1"/>
    <col min="4613" max="4613" width="4.88671875" style="270" bestFit="1" customWidth="1"/>
    <col min="4614" max="4614" width="7.44140625" style="270" bestFit="1" customWidth="1"/>
    <col min="4615" max="4615" width="7.88671875" style="270" bestFit="1" customWidth="1"/>
    <col min="4616" max="4616" width="5.33203125" style="270" bestFit="1" customWidth="1"/>
    <col min="4617" max="4617" width="6.5546875" style="270" bestFit="1" customWidth="1"/>
    <col min="4618" max="4618" width="4.88671875" style="270" bestFit="1" customWidth="1"/>
    <col min="4619" max="4619" width="6.5546875" style="270" bestFit="1" customWidth="1"/>
    <col min="4620" max="4620" width="9.33203125" style="270" customWidth="1"/>
    <col min="4621" max="4621" width="7.33203125" style="270" customWidth="1"/>
    <col min="4622" max="4622" width="9.44140625" style="270" bestFit="1" customWidth="1"/>
    <col min="4623" max="4623" width="7.109375" style="270" bestFit="1" customWidth="1"/>
    <col min="4624" max="4624" width="11.33203125" style="270" bestFit="1" customWidth="1"/>
    <col min="4625" max="4625" width="7.6640625" style="270" bestFit="1" customWidth="1"/>
    <col min="4626" max="4626" width="10" style="270" bestFit="1" customWidth="1"/>
    <col min="4627" max="4627" width="8.88671875" style="270" customWidth="1"/>
    <col min="4628" max="4628" width="8.5546875" style="270" customWidth="1"/>
    <col min="4629" max="4629" width="6.6640625" style="270" customWidth="1"/>
    <col min="4630" max="4630" width="9.109375" style="270" bestFit="1" customWidth="1"/>
    <col min="4631" max="4631" width="8.5546875" style="270" bestFit="1" customWidth="1"/>
    <col min="4632" max="4632" width="8.109375" style="270" bestFit="1" customWidth="1"/>
    <col min="4633" max="4633" width="8.44140625" style="270" customWidth="1"/>
    <col min="4634" max="4634" width="7.33203125" style="270" customWidth="1"/>
    <col min="4635" max="4635" width="6" style="270" customWidth="1"/>
    <col min="4636" max="4636" width="6.88671875" style="270" customWidth="1"/>
    <col min="4637" max="4637" width="7.5546875" style="270" bestFit="1" customWidth="1"/>
    <col min="4638" max="4638" width="7.44140625" style="270" customWidth="1"/>
    <col min="4639" max="4639" width="8" style="270" customWidth="1"/>
    <col min="4640" max="4640" width="22.44140625" style="270" customWidth="1"/>
    <col min="4641" max="4641" width="26" style="270" bestFit="1" customWidth="1"/>
    <col min="4642" max="4642" width="11.6640625" style="270" bestFit="1" customWidth="1"/>
    <col min="4643" max="4643" width="3.33203125" style="270" bestFit="1" customWidth="1"/>
    <col min="4644" max="4644" width="4.6640625" style="270" bestFit="1" customWidth="1"/>
    <col min="4645" max="4645" width="16.109375" style="270" bestFit="1" customWidth="1"/>
    <col min="4646" max="4646" width="3.33203125" style="270" bestFit="1" customWidth="1"/>
    <col min="4647" max="4647" width="5.88671875" style="270" bestFit="1" customWidth="1"/>
    <col min="4648" max="4649" width="11.44140625" style="270"/>
    <col min="4650" max="4650" width="19" style="270" customWidth="1"/>
    <col min="4651" max="4863" width="11.44140625" style="270"/>
    <col min="4864" max="4865" width="2.6640625" style="270" customWidth="1"/>
    <col min="4866" max="4866" width="4.88671875" style="270" bestFit="1" customWidth="1"/>
    <col min="4867" max="4868" width="2.6640625" style="270" customWidth="1"/>
    <col min="4869" max="4869" width="4.88671875" style="270" bestFit="1" customWidth="1"/>
    <col min="4870" max="4870" width="7.44140625" style="270" bestFit="1" customWidth="1"/>
    <col min="4871" max="4871" width="7.88671875" style="270" bestFit="1" customWidth="1"/>
    <col min="4872" max="4872" width="5.33203125" style="270" bestFit="1" customWidth="1"/>
    <col min="4873" max="4873" width="6.5546875" style="270" bestFit="1" customWidth="1"/>
    <col min="4874" max="4874" width="4.88671875" style="270" bestFit="1" customWidth="1"/>
    <col min="4875" max="4875" width="6.5546875" style="270" bestFit="1" customWidth="1"/>
    <col min="4876" max="4876" width="9.33203125" style="270" customWidth="1"/>
    <col min="4877" max="4877" width="7.33203125" style="270" customWidth="1"/>
    <col min="4878" max="4878" width="9.44140625" style="270" bestFit="1" customWidth="1"/>
    <col min="4879" max="4879" width="7.109375" style="270" bestFit="1" customWidth="1"/>
    <col min="4880" max="4880" width="11.33203125" style="270" bestFit="1" customWidth="1"/>
    <col min="4881" max="4881" width="7.6640625" style="270" bestFit="1" customWidth="1"/>
    <col min="4882" max="4882" width="10" style="270" bestFit="1" customWidth="1"/>
    <col min="4883" max="4883" width="8.88671875" style="270" customWidth="1"/>
    <col min="4884" max="4884" width="8.5546875" style="270" customWidth="1"/>
    <col min="4885" max="4885" width="6.6640625" style="270" customWidth="1"/>
    <col min="4886" max="4886" width="9.109375" style="270" bestFit="1" customWidth="1"/>
    <col min="4887" max="4887" width="8.5546875" style="270" bestFit="1" customWidth="1"/>
    <col min="4888" max="4888" width="8.109375" style="270" bestFit="1" customWidth="1"/>
    <col min="4889" max="4889" width="8.44140625" style="270" customWidth="1"/>
    <col min="4890" max="4890" width="7.33203125" style="270" customWidth="1"/>
    <col min="4891" max="4891" width="6" style="270" customWidth="1"/>
    <col min="4892" max="4892" width="6.88671875" style="270" customWidth="1"/>
    <col min="4893" max="4893" width="7.5546875" style="270" bestFit="1" customWidth="1"/>
    <col min="4894" max="4894" width="7.44140625" style="270" customWidth="1"/>
    <col min="4895" max="4895" width="8" style="270" customWidth="1"/>
    <col min="4896" max="4896" width="22.44140625" style="270" customWidth="1"/>
    <col min="4897" max="4897" width="26" style="270" bestFit="1" customWidth="1"/>
    <col min="4898" max="4898" width="11.6640625" style="270" bestFit="1" customWidth="1"/>
    <col min="4899" max="4899" width="3.33203125" style="270" bestFit="1" customWidth="1"/>
    <col min="4900" max="4900" width="4.6640625" style="270" bestFit="1" customWidth="1"/>
    <col min="4901" max="4901" width="16.109375" style="270" bestFit="1" customWidth="1"/>
    <col min="4902" max="4902" width="3.33203125" style="270" bestFit="1" customWidth="1"/>
    <col min="4903" max="4903" width="5.88671875" style="270" bestFit="1" customWidth="1"/>
    <col min="4904" max="4905" width="11.44140625" style="270"/>
    <col min="4906" max="4906" width="19" style="270" customWidth="1"/>
    <col min="4907" max="5119" width="11.44140625" style="270"/>
    <col min="5120" max="5121" width="2.6640625" style="270" customWidth="1"/>
    <col min="5122" max="5122" width="4.88671875" style="270" bestFit="1" customWidth="1"/>
    <col min="5123" max="5124" width="2.6640625" style="270" customWidth="1"/>
    <col min="5125" max="5125" width="4.88671875" style="270" bestFit="1" customWidth="1"/>
    <col min="5126" max="5126" width="7.44140625" style="270" bestFit="1" customWidth="1"/>
    <col min="5127" max="5127" width="7.88671875" style="270" bestFit="1" customWidth="1"/>
    <col min="5128" max="5128" width="5.33203125" style="270" bestFit="1" customWidth="1"/>
    <col min="5129" max="5129" width="6.5546875" style="270" bestFit="1" customWidth="1"/>
    <col min="5130" max="5130" width="4.88671875" style="270" bestFit="1" customWidth="1"/>
    <col min="5131" max="5131" width="6.5546875" style="270" bestFit="1" customWidth="1"/>
    <col min="5132" max="5132" width="9.33203125" style="270" customWidth="1"/>
    <col min="5133" max="5133" width="7.33203125" style="270" customWidth="1"/>
    <col min="5134" max="5134" width="9.44140625" style="270" bestFit="1" customWidth="1"/>
    <col min="5135" max="5135" width="7.109375" style="270" bestFit="1" customWidth="1"/>
    <col min="5136" max="5136" width="11.33203125" style="270" bestFit="1" customWidth="1"/>
    <col min="5137" max="5137" width="7.6640625" style="270" bestFit="1" customWidth="1"/>
    <col min="5138" max="5138" width="10" style="270" bestFit="1" customWidth="1"/>
    <col min="5139" max="5139" width="8.88671875" style="270" customWidth="1"/>
    <col min="5140" max="5140" width="8.5546875" style="270" customWidth="1"/>
    <col min="5141" max="5141" width="6.6640625" style="270" customWidth="1"/>
    <col min="5142" max="5142" width="9.109375" style="270" bestFit="1" customWidth="1"/>
    <col min="5143" max="5143" width="8.5546875" style="270" bestFit="1" customWidth="1"/>
    <col min="5144" max="5144" width="8.109375" style="270" bestFit="1" customWidth="1"/>
    <col min="5145" max="5145" width="8.44140625" style="270" customWidth="1"/>
    <col min="5146" max="5146" width="7.33203125" style="270" customWidth="1"/>
    <col min="5147" max="5147" width="6" style="270" customWidth="1"/>
    <col min="5148" max="5148" width="6.88671875" style="270" customWidth="1"/>
    <col min="5149" max="5149" width="7.5546875" style="270" bestFit="1" customWidth="1"/>
    <col min="5150" max="5150" width="7.44140625" style="270" customWidth="1"/>
    <col min="5151" max="5151" width="8" style="270" customWidth="1"/>
    <col min="5152" max="5152" width="22.44140625" style="270" customWidth="1"/>
    <col min="5153" max="5153" width="26" style="270" bestFit="1" customWidth="1"/>
    <col min="5154" max="5154" width="11.6640625" style="270" bestFit="1" customWidth="1"/>
    <col min="5155" max="5155" width="3.33203125" style="270" bestFit="1" customWidth="1"/>
    <col min="5156" max="5156" width="4.6640625" style="270" bestFit="1" customWidth="1"/>
    <col min="5157" max="5157" width="16.109375" style="270" bestFit="1" customWidth="1"/>
    <col min="5158" max="5158" width="3.33203125" style="270" bestFit="1" customWidth="1"/>
    <col min="5159" max="5159" width="5.88671875" style="270" bestFit="1" customWidth="1"/>
    <col min="5160" max="5161" width="11.44140625" style="270"/>
    <col min="5162" max="5162" width="19" style="270" customWidth="1"/>
    <col min="5163" max="5375" width="11.44140625" style="270"/>
    <col min="5376" max="5377" width="2.6640625" style="270" customWidth="1"/>
    <col min="5378" max="5378" width="4.88671875" style="270" bestFit="1" customWidth="1"/>
    <col min="5379" max="5380" width="2.6640625" style="270" customWidth="1"/>
    <col min="5381" max="5381" width="4.88671875" style="270" bestFit="1" customWidth="1"/>
    <col min="5382" max="5382" width="7.44140625" style="270" bestFit="1" customWidth="1"/>
    <col min="5383" max="5383" width="7.88671875" style="270" bestFit="1" customWidth="1"/>
    <col min="5384" max="5384" width="5.33203125" style="270" bestFit="1" customWidth="1"/>
    <col min="5385" max="5385" width="6.5546875" style="270" bestFit="1" customWidth="1"/>
    <col min="5386" max="5386" width="4.88671875" style="270" bestFit="1" customWidth="1"/>
    <col min="5387" max="5387" width="6.5546875" style="270" bestFit="1" customWidth="1"/>
    <col min="5388" max="5388" width="9.33203125" style="270" customWidth="1"/>
    <col min="5389" max="5389" width="7.33203125" style="270" customWidth="1"/>
    <col min="5390" max="5390" width="9.44140625" style="270" bestFit="1" customWidth="1"/>
    <col min="5391" max="5391" width="7.109375" style="270" bestFit="1" customWidth="1"/>
    <col min="5392" max="5392" width="11.33203125" style="270" bestFit="1" customWidth="1"/>
    <col min="5393" max="5393" width="7.6640625" style="270" bestFit="1" customWidth="1"/>
    <col min="5394" max="5394" width="10" style="270" bestFit="1" customWidth="1"/>
    <col min="5395" max="5395" width="8.88671875" style="270" customWidth="1"/>
    <col min="5396" max="5396" width="8.5546875" style="270" customWidth="1"/>
    <col min="5397" max="5397" width="6.6640625" style="270" customWidth="1"/>
    <col min="5398" max="5398" width="9.109375" style="270" bestFit="1" customWidth="1"/>
    <col min="5399" max="5399" width="8.5546875" style="270" bestFit="1" customWidth="1"/>
    <col min="5400" max="5400" width="8.109375" style="270" bestFit="1" customWidth="1"/>
    <col min="5401" max="5401" width="8.44140625" style="270" customWidth="1"/>
    <col min="5402" max="5402" width="7.33203125" style="270" customWidth="1"/>
    <col min="5403" max="5403" width="6" style="270" customWidth="1"/>
    <col min="5404" max="5404" width="6.88671875" style="270" customWidth="1"/>
    <col min="5405" max="5405" width="7.5546875" style="270" bestFit="1" customWidth="1"/>
    <col min="5406" max="5406" width="7.44140625" style="270" customWidth="1"/>
    <col min="5407" max="5407" width="8" style="270" customWidth="1"/>
    <col min="5408" max="5408" width="22.44140625" style="270" customWidth="1"/>
    <col min="5409" max="5409" width="26" style="270" bestFit="1" customWidth="1"/>
    <col min="5410" max="5410" width="11.6640625" style="270" bestFit="1" customWidth="1"/>
    <col min="5411" max="5411" width="3.33203125" style="270" bestFit="1" customWidth="1"/>
    <col min="5412" max="5412" width="4.6640625" style="270" bestFit="1" customWidth="1"/>
    <col min="5413" max="5413" width="16.109375" style="270" bestFit="1" customWidth="1"/>
    <col min="5414" max="5414" width="3.33203125" style="270" bestFit="1" customWidth="1"/>
    <col min="5415" max="5415" width="5.88671875" style="270" bestFit="1" customWidth="1"/>
    <col min="5416" max="5417" width="11.44140625" style="270"/>
    <col min="5418" max="5418" width="19" style="270" customWidth="1"/>
    <col min="5419" max="5631" width="11.44140625" style="270"/>
    <col min="5632" max="5633" width="2.6640625" style="270" customWidth="1"/>
    <col min="5634" max="5634" width="4.88671875" style="270" bestFit="1" customWidth="1"/>
    <col min="5635" max="5636" width="2.6640625" style="270" customWidth="1"/>
    <col min="5637" max="5637" width="4.88671875" style="270" bestFit="1" customWidth="1"/>
    <col min="5638" max="5638" width="7.44140625" style="270" bestFit="1" customWidth="1"/>
    <col min="5639" max="5639" width="7.88671875" style="270" bestFit="1" customWidth="1"/>
    <col min="5640" max="5640" width="5.33203125" style="270" bestFit="1" customWidth="1"/>
    <col min="5641" max="5641" width="6.5546875" style="270" bestFit="1" customWidth="1"/>
    <col min="5642" max="5642" width="4.88671875" style="270" bestFit="1" customWidth="1"/>
    <col min="5643" max="5643" width="6.5546875" style="270" bestFit="1" customWidth="1"/>
    <col min="5644" max="5644" width="9.33203125" style="270" customWidth="1"/>
    <col min="5645" max="5645" width="7.33203125" style="270" customWidth="1"/>
    <col min="5646" max="5646" width="9.44140625" style="270" bestFit="1" customWidth="1"/>
    <col min="5647" max="5647" width="7.109375" style="270" bestFit="1" customWidth="1"/>
    <col min="5648" max="5648" width="11.33203125" style="270" bestFit="1" customWidth="1"/>
    <col min="5649" max="5649" width="7.6640625" style="270" bestFit="1" customWidth="1"/>
    <col min="5650" max="5650" width="10" style="270" bestFit="1" customWidth="1"/>
    <col min="5651" max="5651" width="8.88671875" style="270" customWidth="1"/>
    <col min="5652" max="5652" width="8.5546875" style="270" customWidth="1"/>
    <col min="5653" max="5653" width="6.6640625" style="270" customWidth="1"/>
    <col min="5654" max="5654" width="9.109375" style="270" bestFit="1" customWidth="1"/>
    <col min="5655" max="5655" width="8.5546875" style="270" bestFit="1" customWidth="1"/>
    <col min="5656" max="5656" width="8.109375" style="270" bestFit="1" customWidth="1"/>
    <col min="5657" max="5657" width="8.44140625" style="270" customWidth="1"/>
    <col min="5658" max="5658" width="7.33203125" style="270" customWidth="1"/>
    <col min="5659" max="5659" width="6" style="270" customWidth="1"/>
    <col min="5660" max="5660" width="6.88671875" style="270" customWidth="1"/>
    <col min="5661" max="5661" width="7.5546875" style="270" bestFit="1" customWidth="1"/>
    <col min="5662" max="5662" width="7.44140625" style="270" customWidth="1"/>
    <col min="5663" max="5663" width="8" style="270" customWidth="1"/>
    <col min="5664" max="5664" width="22.44140625" style="270" customWidth="1"/>
    <col min="5665" max="5665" width="26" style="270" bestFit="1" customWidth="1"/>
    <col min="5666" max="5666" width="11.6640625" style="270" bestFit="1" customWidth="1"/>
    <col min="5667" max="5667" width="3.33203125" style="270" bestFit="1" customWidth="1"/>
    <col min="5668" max="5668" width="4.6640625" style="270" bestFit="1" customWidth="1"/>
    <col min="5669" max="5669" width="16.109375" style="270" bestFit="1" customWidth="1"/>
    <col min="5670" max="5670" width="3.33203125" style="270" bestFit="1" customWidth="1"/>
    <col min="5671" max="5671" width="5.88671875" style="270" bestFit="1" customWidth="1"/>
    <col min="5672" max="5673" width="11.44140625" style="270"/>
    <col min="5674" max="5674" width="19" style="270" customWidth="1"/>
    <col min="5675" max="5887" width="11.44140625" style="270"/>
    <col min="5888" max="5889" width="2.6640625" style="270" customWidth="1"/>
    <col min="5890" max="5890" width="4.88671875" style="270" bestFit="1" customWidth="1"/>
    <col min="5891" max="5892" width="2.6640625" style="270" customWidth="1"/>
    <col min="5893" max="5893" width="4.88671875" style="270" bestFit="1" customWidth="1"/>
    <col min="5894" max="5894" width="7.44140625" style="270" bestFit="1" customWidth="1"/>
    <col min="5895" max="5895" width="7.88671875" style="270" bestFit="1" customWidth="1"/>
    <col min="5896" max="5896" width="5.33203125" style="270" bestFit="1" customWidth="1"/>
    <col min="5897" max="5897" width="6.5546875" style="270" bestFit="1" customWidth="1"/>
    <col min="5898" max="5898" width="4.88671875" style="270" bestFit="1" customWidth="1"/>
    <col min="5899" max="5899" width="6.5546875" style="270" bestFit="1" customWidth="1"/>
    <col min="5900" max="5900" width="9.33203125" style="270" customWidth="1"/>
    <col min="5901" max="5901" width="7.33203125" style="270" customWidth="1"/>
    <col min="5902" max="5902" width="9.44140625" style="270" bestFit="1" customWidth="1"/>
    <col min="5903" max="5903" width="7.109375" style="270" bestFit="1" customWidth="1"/>
    <col min="5904" max="5904" width="11.33203125" style="270" bestFit="1" customWidth="1"/>
    <col min="5905" max="5905" width="7.6640625" style="270" bestFit="1" customWidth="1"/>
    <col min="5906" max="5906" width="10" style="270" bestFit="1" customWidth="1"/>
    <col min="5907" max="5907" width="8.88671875" style="270" customWidth="1"/>
    <col min="5908" max="5908" width="8.5546875" style="270" customWidth="1"/>
    <col min="5909" max="5909" width="6.6640625" style="270" customWidth="1"/>
    <col min="5910" max="5910" width="9.109375" style="270" bestFit="1" customWidth="1"/>
    <col min="5911" max="5911" width="8.5546875" style="270" bestFit="1" customWidth="1"/>
    <col min="5912" max="5912" width="8.109375" style="270" bestFit="1" customWidth="1"/>
    <col min="5913" max="5913" width="8.44140625" style="270" customWidth="1"/>
    <col min="5914" max="5914" width="7.33203125" style="270" customWidth="1"/>
    <col min="5915" max="5915" width="6" style="270" customWidth="1"/>
    <col min="5916" max="5916" width="6.88671875" style="270" customWidth="1"/>
    <col min="5917" max="5917" width="7.5546875" style="270" bestFit="1" customWidth="1"/>
    <col min="5918" max="5918" width="7.44140625" style="270" customWidth="1"/>
    <col min="5919" max="5919" width="8" style="270" customWidth="1"/>
    <col min="5920" max="5920" width="22.44140625" style="270" customWidth="1"/>
    <col min="5921" max="5921" width="26" style="270" bestFit="1" customWidth="1"/>
    <col min="5922" max="5922" width="11.6640625" style="270" bestFit="1" customWidth="1"/>
    <col min="5923" max="5923" width="3.33203125" style="270" bestFit="1" customWidth="1"/>
    <col min="5924" max="5924" width="4.6640625" style="270" bestFit="1" customWidth="1"/>
    <col min="5925" max="5925" width="16.109375" style="270" bestFit="1" customWidth="1"/>
    <col min="5926" max="5926" width="3.33203125" style="270" bestFit="1" customWidth="1"/>
    <col min="5927" max="5927" width="5.88671875" style="270" bestFit="1" customWidth="1"/>
    <col min="5928" max="5929" width="11.44140625" style="270"/>
    <col min="5930" max="5930" width="19" style="270" customWidth="1"/>
    <col min="5931" max="6143" width="11.44140625" style="270"/>
    <col min="6144" max="6145" width="2.6640625" style="270" customWidth="1"/>
    <col min="6146" max="6146" width="4.88671875" style="270" bestFit="1" customWidth="1"/>
    <col min="6147" max="6148" width="2.6640625" style="270" customWidth="1"/>
    <col min="6149" max="6149" width="4.88671875" style="270" bestFit="1" customWidth="1"/>
    <col min="6150" max="6150" width="7.44140625" style="270" bestFit="1" customWidth="1"/>
    <col min="6151" max="6151" width="7.88671875" style="270" bestFit="1" customWidth="1"/>
    <col min="6152" max="6152" width="5.33203125" style="270" bestFit="1" customWidth="1"/>
    <col min="6153" max="6153" width="6.5546875" style="270" bestFit="1" customWidth="1"/>
    <col min="6154" max="6154" width="4.88671875" style="270" bestFit="1" customWidth="1"/>
    <col min="6155" max="6155" width="6.5546875" style="270" bestFit="1" customWidth="1"/>
    <col min="6156" max="6156" width="9.33203125" style="270" customWidth="1"/>
    <col min="6157" max="6157" width="7.33203125" style="270" customWidth="1"/>
    <col min="6158" max="6158" width="9.44140625" style="270" bestFit="1" customWidth="1"/>
    <col min="6159" max="6159" width="7.109375" style="270" bestFit="1" customWidth="1"/>
    <col min="6160" max="6160" width="11.33203125" style="270" bestFit="1" customWidth="1"/>
    <col min="6161" max="6161" width="7.6640625" style="270" bestFit="1" customWidth="1"/>
    <col min="6162" max="6162" width="10" style="270" bestFit="1" customWidth="1"/>
    <col min="6163" max="6163" width="8.88671875" style="270" customWidth="1"/>
    <col min="6164" max="6164" width="8.5546875" style="270" customWidth="1"/>
    <col min="6165" max="6165" width="6.6640625" style="270" customWidth="1"/>
    <col min="6166" max="6166" width="9.109375" style="270" bestFit="1" customWidth="1"/>
    <col min="6167" max="6167" width="8.5546875" style="270" bestFit="1" customWidth="1"/>
    <col min="6168" max="6168" width="8.109375" style="270" bestFit="1" customWidth="1"/>
    <col min="6169" max="6169" width="8.44140625" style="270" customWidth="1"/>
    <col min="6170" max="6170" width="7.33203125" style="270" customWidth="1"/>
    <col min="6171" max="6171" width="6" style="270" customWidth="1"/>
    <col min="6172" max="6172" width="6.88671875" style="270" customWidth="1"/>
    <col min="6173" max="6173" width="7.5546875" style="270" bestFit="1" customWidth="1"/>
    <col min="6174" max="6174" width="7.44140625" style="270" customWidth="1"/>
    <col min="6175" max="6175" width="8" style="270" customWidth="1"/>
    <col min="6176" max="6176" width="22.44140625" style="270" customWidth="1"/>
    <col min="6177" max="6177" width="26" style="270" bestFit="1" customWidth="1"/>
    <col min="6178" max="6178" width="11.6640625" style="270" bestFit="1" customWidth="1"/>
    <col min="6179" max="6179" width="3.33203125" style="270" bestFit="1" customWidth="1"/>
    <col min="6180" max="6180" width="4.6640625" style="270" bestFit="1" customWidth="1"/>
    <col min="6181" max="6181" width="16.109375" style="270" bestFit="1" customWidth="1"/>
    <col min="6182" max="6182" width="3.33203125" style="270" bestFit="1" customWidth="1"/>
    <col min="6183" max="6183" width="5.88671875" style="270" bestFit="1" customWidth="1"/>
    <col min="6184" max="6185" width="11.44140625" style="270"/>
    <col min="6186" max="6186" width="19" style="270" customWidth="1"/>
    <col min="6187" max="6399" width="11.44140625" style="270"/>
    <col min="6400" max="6401" width="2.6640625" style="270" customWidth="1"/>
    <col min="6402" max="6402" width="4.88671875" style="270" bestFit="1" customWidth="1"/>
    <col min="6403" max="6404" width="2.6640625" style="270" customWidth="1"/>
    <col min="6405" max="6405" width="4.88671875" style="270" bestFit="1" customWidth="1"/>
    <col min="6406" max="6406" width="7.44140625" style="270" bestFit="1" customWidth="1"/>
    <col min="6407" max="6407" width="7.88671875" style="270" bestFit="1" customWidth="1"/>
    <col min="6408" max="6408" width="5.33203125" style="270" bestFit="1" customWidth="1"/>
    <col min="6409" max="6409" width="6.5546875" style="270" bestFit="1" customWidth="1"/>
    <col min="6410" max="6410" width="4.88671875" style="270" bestFit="1" customWidth="1"/>
    <col min="6411" max="6411" width="6.5546875" style="270" bestFit="1" customWidth="1"/>
    <col min="6412" max="6412" width="9.33203125" style="270" customWidth="1"/>
    <col min="6413" max="6413" width="7.33203125" style="270" customWidth="1"/>
    <col min="6414" max="6414" width="9.44140625" style="270" bestFit="1" customWidth="1"/>
    <col min="6415" max="6415" width="7.109375" style="270" bestFit="1" customWidth="1"/>
    <col min="6416" max="6416" width="11.33203125" style="270" bestFit="1" customWidth="1"/>
    <col min="6417" max="6417" width="7.6640625" style="270" bestFit="1" customWidth="1"/>
    <col min="6418" max="6418" width="10" style="270" bestFit="1" customWidth="1"/>
    <col min="6419" max="6419" width="8.88671875" style="270" customWidth="1"/>
    <col min="6420" max="6420" width="8.5546875" style="270" customWidth="1"/>
    <col min="6421" max="6421" width="6.6640625" style="270" customWidth="1"/>
    <col min="6422" max="6422" width="9.109375" style="270" bestFit="1" customWidth="1"/>
    <col min="6423" max="6423" width="8.5546875" style="270" bestFit="1" customWidth="1"/>
    <col min="6424" max="6424" width="8.109375" style="270" bestFit="1" customWidth="1"/>
    <col min="6425" max="6425" width="8.44140625" style="270" customWidth="1"/>
    <col min="6426" max="6426" width="7.33203125" style="270" customWidth="1"/>
    <col min="6427" max="6427" width="6" style="270" customWidth="1"/>
    <col min="6428" max="6428" width="6.88671875" style="270" customWidth="1"/>
    <col min="6429" max="6429" width="7.5546875" style="270" bestFit="1" customWidth="1"/>
    <col min="6430" max="6430" width="7.44140625" style="270" customWidth="1"/>
    <col min="6431" max="6431" width="8" style="270" customWidth="1"/>
    <col min="6432" max="6432" width="22.44140625" style="270" customWidth="1"/>
    <col min="6433" max="6433" width="26" style="270" bestFit="1" customWidth="1"/>
    <col min="6434" max="6434" width="11.6640625" style="270" bestFit="1" customWidth="1"/>
    <col min="6435" max="6435" width="3.33203125" style="270" bestFit="1" customWidth="1"/>
    <col min="6436" max="6436" width="4.6640625" style="270" bestFit="1" customWidth="1"/>
    <col min="6437" max="6437" width="16.109375" style="270" bestFit="1" customWidth="1"/>
    <col min="6438" max="6438" width="3.33203125" style="270" bestFit="1" customWidth="1"/>
    <col min="6439" max="6439" width="5.88671875" style="270" bestFit="1" customWidth="1"/>
    <col min="6440" max="6441" width="11.44140625" style="270"/>
    <col min="6442" max="6442" width="19" style="270" customWidth="1"/>
    <col min="6443" max="6655" width="11.44140625" style="270"/>
    <col min="6656" max="6657" width="2.6640625" style="270" customWidth="1"/>
    <col min="6658" max="6658" width="4.88671875" style="270" bestFit="1" customWidth="1"/>
    <col min="6659" max="6660" width="2.6640625" style="270" customWidth="1"/>
    <col min="6661" max="6661" width="4.88671875" style="270" bestFit="1" customWidth="1"/>
    <col min="6662" max="6662" width="7.44140625" style="270" bestFit="1" customWidth="1"/>
    <col min="6663" max="6663" width="7.88671875" style="270" bestFit="1" customWidth="1"/>
    <col min="6664" max="6664" width="5.33203125" style="270" bestFit="1" customWidth="1"/>
    <col min="6665" max="6665" width="6.5546875" style="270" bestFit="1" customWidth="1"/>
    <col min="6666" max="6666" width="4.88671875" style="270" bestFit="1" customWidth="1"/>
    <col min="6667" max="6667" width="6.5546875" style="270" bestFit="1" customWidth="1"/>
    <col min="6668" max="6668" width="9.33203125" style="270" customWidth="1"/>
    <col min="6669" max="6669" width="7.33203125" style="270" customWidth="1"/>
    <col min="6670" max="6670" width="9.44140625" style="270" bestFit="1" customWidth="1"/>
    <col min="6671" max="6671" width="7.109375" style="270" bestFit="1" customWidth="1"/>
    <col min="6672" max="6672" width="11.33203125" style="270" bestFit="1" customWidth="1"/>
    <col min="6673" max="6673" width="7.6640625" style="270" bestFit="1" customWidth="1"/>
    <col min="6674" max="6674" width="10" style="270" bestFit="1" customWidth="1"/>
    <col min="6675" max="6675" width="8.88671875" style="270" customWidth="1"/>
    <col min="6676" max="6676" width="8.5546875" style="270" customWidth="1"/>
    <col min="6677" max="6677" width="6.6640625" style="270" customWidth="1"/>
    <col min="6678" max="6678" width="9.109375" style="270" bestFit="1" customWidth="1"/>
    <col min="6679" max="6679" width="8.5546875" style="270" bestFit="1" customWidth="1"/>
    <col min="6680" max="6680" width="8.109375" style="270" bestFit="1" customWidth="1"/>
    <col min="6681" max="6681" width="8.44140625" style="270" customWidth="1"/>
    <col min="6682" max="6682" width="7.33203125" style="270" customWidth="1"/>
    <col min="6683" max="6683" width="6" style="270" customWidth="1"/>
    <col min="6684" max="6684" width="6.88671875" style="270" customWidth="1"/>
    <col min="6685" max="6685" width="7.5546875" style="270" bestFit="1" customWidth="1"/>
    <col min="6686" max="6686" width="7.44140625" style="270" customWidth="1"/>
    <col min="6687" max="6687" width="8" style="270" customWidth="1"/>
    <col min="6688" max="6688" width="22.44140625" style="270" customWidth="1"/>
    <col min="6689" max="6689" width="26" style="270" bestFit="1" customWidth="1"/>
    <col min="6690" max="6690" width="11.6640625" style="270" bestFit="1" customWidth="1"/>
    <col min="6691" max="6691" width="3.33203125" style="270" bestFit="1" customWidth="1"/>
    <col min="6692" max="6692" width="4.6640625" style="270" bestFit="1" customWidth="1"/>
    <col min="6693" max="6693" width="16.109375" style="270" bestFit="1" customWidth="1"/>
    <col min="6694" max="6694" width="3.33203125" style="270" bestFit="1" customWidth="1"/>
    <col min="6695" max="6695" width="5.88671875" style="270" bestFit="1" customWidth="1"/>
    <col min="6696" max="6697" width="11.44140625" style="270"/>
    <col min="6698" max="6698" width="19" style="270" customWidth="1"/>
    <col min="6699" max="6911" width="11.44140625" style="270"/>
    <col min="6912" max="6913" width="2.6640625" style="270" customWidth="1"/>
    <col min="6914" max="6914" width="4.88671875" style="270" bestFit="1" customWidth="1"/>
    <col min="6915" max="6916" width="2.6640625" style="270" customWidth="1"/>
    <col min="6917" max="6917" width="4.88671875" style="270" bestFit="1" customWidth="1"/>
    <col min="6918" max="6918" width="7.44140625" style="270" bestFit="1" customWidth="1"/>
    <col min="6919" max="6919" width="7.88671875" style="270" bestFit="1" customWidth="1"/>
    <col min="6920" max="6920" width="5.33203125" style="270" bestFit="1" customWidth="1"/>
    <col min="6921" max="6921" width="6.5546875" style="270" bestFit="1" customWidth="1"/>
    <col min="6922" max="6922" width="4.88671875" style="270" bestFit="1" customWidth="1"/>
    <col min="6923" max="6923" width="6.5546875" style="270" bestFit="1" customWidth="1"/>
    <col min="6924" max="6924" width="9.33203125" style="270" customWidth="1"/>
    <col min="6925" max="6925" width="7.33203125" style="270" customWidth="1"/>
    <col min="6926" max="6926" width="9.44140625" style="270" bestFit="1" customWidth="1"/>
    <col min="6927" max="6927" width="7.109375" style="270" bestFit="1" customWidth="1"/>
    <col min="6928" max="6928" width="11.33203125" style="270" bestFit="1" customWidth="1"/>
    <col min="6929" max="6929" width="7.6640625" style="270" bestFit="1" customWidth="1"/>
    <col min="6930" max="6930" width="10" style="270" bestFit="1" customWidth="1"/>
    <col min="6931" max="6931" width="8.88671875" style="270" customWidth="1"/>
    <col min="6932" max="6932" width="8.5546875" style="270" customWidth="1"/>
    <col min="6933" max="6933" width="6.6640625" style="270" customWidth="1"/>
    <col min="6934" max="6934" width="9.109375" style="270" bestFit="1" customWidth="1"/>
    <col min="6935" max="6935" width="8.5546875" style="270" bestFit="1" customWidth="1"/>
    <col min="6936" max="6936" width="8.109375" style="270" bestFit="1" customWidth="1"/>
    <col min="6937" max="6937" width="8.44140625" style="270" customWidth="1"/>
    <col min="6938" max="6938" width="7.33203125" style="270" customWidth="1"/>
    <col min="6939" max="6939" width="6" style="270" customWidth="1"/>
    <col min="6940" max="6940" width="6.88671875" style="270" customWidth="1"/>
    <col min="6941" max="6941" width="7.5546875" style="270" bestFit="1" customWidth="1"/>
    <col min="6942" max="6942" width="7.44140625" style="270" customWidth="1"/>
    <col min="6943" max="6943" width="8" style="270" customWidth="1"/>
    <col min="6944" max="6944" width="22.44140625" style="270" customWidth="1"/>
    <col min="6945" max="6945" width="26" style="270" bestFit="1" customWidth="1"/>
    <col min="6946" max="6946" width="11.6640625" style="270" bestFit="1" customWidth="1"/>
    <col min="6947" max="6947" width="3.33203125" style="270" bestFit="1" customWidth="1"/>
    <col min="6948" max="6948" width="4.6640625" style="270" bestFit="1" customWidth="1"/>
    <col min="6949" max="6949" width="16.109375" style="270" bestFit="1" customWidth="1"/>
    <col min="6950" max="6950" width="3.33203125" style="270" bestFit="1" customWidth="1"/>
    <col min="6951" max="6951" width="5.88671875" style="270" bestFit="1" customWidth="1"/>
    <col min="6952" max="6953" width="11.44140625" style="270"/>
    <col min="6954" max="6954" width="19" style="270" customWidth="1"/>
    <col min="6955" max="7167" width="11.44140625" style="270"/>
    <col min="7168" max="7169" width="2.6640625" style="270" customWidth="1"/>
    <col min="7170" max="7170" width="4.88671875" style="270" bestFit="1" customWidth="1"/>
    <col min="7171" max="7172" width="2.6640625" style="270" customWidth="1"/>
    <col min="7173" max="7173" width="4.88671875" style="270" bestFit="1" customWidth="1"/>
    <col min="7174" max="7174" width="7.44140625" style="270" bestFit="1" customWidth="1"/>
    <col min="7175" max="7175" width="7.88671875" style="270" bestFit="1" customWidth="1"/>
    <col min="7176" max="7176" width="5.33203125" style="270" bestFit="1" customWidth="1"/>
    <col min="7177" max="7177" width="6.5546875" style="270" bestFit="1" customWidth="1"/>
    <col min="7178" max="7178" width="4.88671875" style="270" bestFit="1" customWidth="1"/>
    <col min="7179" max="7179" width="6.5546875" style="270" bestFit="1" customWidth="1"/>
    <col min="7180" max="7180" width="9.33203125" style="270" customWidth="1"/>
    <col min="7181" max="7181" width="7.33203125" style="270" customWidth="1"/>
    <col min="7182" max="7182" width="9.44140625" style="270" bestFit="1" customWidth="1"/>
    <col min="7183" max="7183" width="7.109375" style="270" bestFit="1" customWidth="1"/>
    <col min="7184" max="7184" width="11.33203125" style="270" bestFit="1" customWidth="1"/>
    <col min="7185" max="7185" width="7.6640625" style="270" bestFit="1" customWidth="1"/>
    <col min="7186" max="7186" width="10" style="270" bestFit="1" customWidth="1"/>
    <col min="7187" max="7187" width="8.88671875" style="270" customWidth="1"/>
    <col min="7188" max="7188" width="8.5546875" style="270" customWidth="1"/>
    <col min="7189" max="7189" width="6.6640625" style="270" customWidth="1"/>
    <col min="7190" max="7190" width="9.109375" style="270" bestFit="1" customWidth="1"/>
    <col min="7191" max="7191" width="8.5546875" style="270" bestFit="1" customWidth="1"/>
    <col min="7192" max="7192" width="8.109375" style="270" bestFit="1" customWidth="1"/>
    <col min="7193" max="7193" width="8.44140625" style="270" customWidth="1"/>
    <col min="7194" max="7194" width="7.33203125" style="270" customWidth="1"/>
    <col min="7195" max="7195" width="6" style="270" customWidth="1"/>
    <col min="7196" max="7196" width="6.88671875" style="270" customWidth="1"/>
    <col min="7197" max="7197" width="7.5546875" style="270" bestFit="1" customWidth="1"/>
    <col min="7198" max="7198" width="7.44140625" style="270" customWidth="1"/>
    <col min="7199" max="7199" width="8" style="270" customWidth="1"/>
    <col min="7200" max="7200" width="22.44140625" style="270" customWidth="1"/>
    <col min="7201" max="7201" width="26" style="270" bestFit="1" customWidth="1"/>
    <col min="7202" max="7202" width="11.6640625" style="270" bestFit="1" customWidth="1"/>
    <col min="7203" max="7203" width="3.33203125" style="270" bestFit="1" customWidth="1"/>
    <col min="7204" max="7204" width="4.6640625" style="270" bestFit="1" customWidth="1"/>
    <col min="7205" max="7205" width="16.109375" style="270" bestFit="1" customWidth="1"/>
    <col min="7206" max="7206" width="3.33203125" style="270" bestFit="1" customWidth="1"/>
    <col min="7207" max="7207" width="5.88671875" style="270" bestFit="1" customWidth="1"/>
    <col min="7208" max="7209" width="11.44140625" style="270"/>
    <col min="7210" max="7210" width="19" style="270" customWidth="1"/>
    <col min="7211" max="7423" width="11.44140625" style="270"/>
    <col min="7424" max="7425" width="2.6640625" style="270" customWidth="1"/>
    <col min="7426" max="7426" width="4.88671875" style="270" bestFit="1" customWidth="1"/>
    <col min="7427" max="7428" width="2.6640625" style="270" customWidth="1"/>
    <col min="7429" max="7429" width="4.88671875" style="270" bestFit="1" customWidth="1"/>
    <col min="7430" max="7430" width="7.44140625" style="270" bestFit="1" customWidth="1"/>
    <col min="7431" max="7431" width="7.88671875" style="270" bestFit="1" customWidth="1"/>
    <col min="7432" max="7432" width="5.33203125" style="270" bestFit="1" customWidth="1"/>
    <col min="7433" max="7433" width="6.5546875" style="270" bestFit="1" customWidth="1"/>
    <col min="7434" max="7434" width="4.88671875" style="270" bestFit="1" customWidth="1"/>
    <col min="7435" max="7435" width="6.5546875" style="270" bestFit="1" customWidth="1"/>
    <col min="7436" max="7436" width="9.33203125" style="270" customWidth="1"/>
    <col min="7437" max="7437" width="7.33203125" style="270" customWidth="1"/>
    <col min="7438" max="7438" width="9.44140625" style="270" bestFit="1" customWidth="1"/>
    <col min="7439" max="7439" width="7.109375" style="270" bestFit="1" customWidth="1"/>
    <col min="7440" max="7440" width="11.33203125" style="270" bestFit="1" customWidth="1"/>
    <col min="7441" max="7441" width="7.6640625" style="270" bestFit="1" customWidth="1"/>
    <col min="7442" max="7442" width="10" style="270" bestFit="1" customWidth="1"/>
    <col min="7443" max="7443" width="8.88671875" style="270" customWidth="1"/>
    <col min="7444" max="7444" width="8.5546875" style="270" customWidth="1"/>
    <col min="7445" max="7445" width="6.6640625" style="270" customWidth="1"/>
    <col min="7446" max="7446" width="9.109375" style="270" bestFit="1" customWidth="1"/>
    <col min="7447" max="7447" width="8.5546875" style="270" bestFit="1" customWidth="1"/>
    <col min="7448" max="7448" width="8.109375" style="270" bestFit="1" customWidth="1"/>
    <col min="7449" max="7449" width="8.44140625" style="270" customWidth="1"/>
    <col min="7450" max="7450" width="7.33203125" style="270" customWidth="1"/>
    <col min="7451" max="7451" width="6" style="270" customWidth="1"/>
    <col min="7452" max="7452" width="6.88671875" style="270" customWidth="1"/>
    <col min="7453" max="7453" width="7.5546875" style="270" bestFit="1" customWidth="1"/>
    <col min="7454" max="7454" width="7.44140625" style="270" customWidth="1"/>
    <col min="7455" max="7455" width="8" style="270" customWidth="1"/>
    <col min="7456" max="7456" width="22.44140625" style="270" customWidth="1"/>
    <col min="7457" max="7457" width="26" style="270" bestFit="1" customWidth="1"/>
    <col min="7458" max="7458" width="11.6640625" style="270" bestFit="1" customWidth="1"/>
    <col min="7459" max="7459" width="3.33203125" style="270" bestFit="1" customWidth="1"/>
    <col min="7460" max="7460" width="4.6640625" style="270" bestFit="1" customWidth="1"/>
    <col min="7461" max="7461" width="16.109375" style="270" bestFit="1" customWidth="1"/>
    <col min="7462" max="7462" width="3.33203125" style="270" bestFit="1" customWidth="1"/>
    <col min="7463" max="7463" width="5.88671875" style="270" bestFit="1" customWidth="1"/>
    <col min="7464" max="7465" width="11.44140625" style="270"/>
    <col min="7466" max="7466" width="19" style="270" customWidth="1"/>
    <col min="7467" max="7679" width="11.44140625" style="270"/>
    <col min="7680" max="7681" width="2.6640625" style="270" customWidth="1"/>
    <col min="7682" max="7682" width="4.88671875" style="270" bestFit="1" customWidth="1"/>
    <col min="7683" max="7684" width="2.6640625" style="270" customWidth="1"/>
    <col min="7685" max="7685" width="4.88671875" style="270" bestFit="1" customWidth="1"/>
    <col min="7686" max="7686" width="7.44140625" style="270" bestFit="1" customWidth="1"/>
    <col min="7687" max="7687" width="7.88671875" style="270" bestFit="1" customWidth="1"/>
    <col min="7688" max="7688" width="5.33203125" style="270" bestFit="1" customWidth="1"/>
    <col min="7689" max="7689" width="6.5546875" style="270" bestFit="1" customWidth="1"/>
    <col min="7690" max="7690" width="4.88671875" style="270" bestFit="1" customWidth="1"/>
    <col min="7691" max="7691" width="6.5546875" style="270" bestFit="1" customWidth="1"/>
    <col min="7692" max="7692" width="9.33203125" style="270" customWidth="1"/>
    <col min="7693" max="7693" width="7.33203125" style="270" customWidth="1"/>
    <col min="7694" max="7694" width="9.44140625" style="270" bestFit="1" customWidth="1"/>
    <col min="7695" max="7695" width="7.109375" style="270" bestFit="1" customWidth="1"/>
    <col min="7696" max="7696" width="11.33203125" style="270" bestFit="1" customWidth="1"/>
    <col min="7697" max="7697" width="7.6640625" style="270" bestFit="1" customWidth="1"/>
    <col min="7698" max="7698" width="10" style="270" bestFit="1" customWidth="1"/>
    <col min="7699" max="7699" width="8.88671875" style="270" customWidth="1"/>
    <col min="7700" max="7700" width="8.5546875" style="270" customWidth="1"/>
    <col min="7701" max="7701" width="6.6640625" style="270" customWidth="1"/>
    <col min="7702" max="7702" width="9.109375" style="270" bestFit="1" customWidth="1"/>
    <col min="7703" max="7703" width="8.5546875" style="270" bestFit="1" customWidth="1"/>
    <col min="7704" max="7704" width="8.109375" style="270" bestFit="1" customWidth="1"/>
    <col min="7705" max="7705" width="8.44140625" style="270" customWidth="1"/>
    <col min="7706" max="7706" width="7.33203125" style="270" customWidth="1"/>
    <col min="7707" max="7707" width="6" style="270" customWidth="1"/>
    <col min="7708" max="7708" width="6.88671875" style="270" customWidth="1"/>
    <col min="7709" max="7709" width="7.5546875" style="270" bestFit="1" customWidth="1"/>
    <col min="7710" max="7710" width="7.44140625" style="270" customWidth="1"/>
    <col min="7711" max="7711" width="8" style="270" customWidth="1"/>
    <col min="7712" max="7712" width="22.44140625" style="270" customWidth="1"/>
    <col min="7713" max="7713" width="26" style="270" bestFit="1" customWidth="1"/>
    <col min="7714" max="7714" width="11.6640625" style="270" bestFit="1" customWidth="1"/>
    <col min="7715" max="7715" width="3.33203125" style="270" bestFit="1" customWidth="1"/>
    <col min="7716" max="7716" width="4.6640625" style="270" bestFit="1" customWidth="1"/>
    <col min="7717" max="7717" width="16.109375" style="270" bestFit="1" customWidth="1"/>
    <col min="7718" max="7718" width="3.33203125" style="270" bestFit="1" customWidth="1"/>
    <col min="7719" max="7719" width="5.88671875" style="270" bestFit="1" customWidth="1"/>
    <col min="7720" max="7721" width="11.44140625" style="270"/>
    <col min="7722" max="7722" width="19" style="270" customWidth="1"/>
    <col min="7723" max="7935" width="11.44140625" style="270"/>
    <col min="7936" max="7937" width="2.6640625" style="270" customWidth="1"/>
    <col min="7938" max="7938" width="4.88671875" style="270" bestFit="1" customWidth="1"/>
    <col min="7939" max="7940" width="2.6640625" style="270" customWidth="1"/>
    <col min="7941" max="7941" width="4.88671875" style="270" bestFit="1" customWidth="1"/>
    <col min="7942" max="7942" width="7.44140625" style="270" bestFit="1" customWidth="1"/>
    <col min="7943" max="7943" width="7.88671875" style="270" bestFit="1" customWidth="1"/>
    <col min="7944" max="7944" width="5.33203125" style="270" bestFit="1" customWidth="1"/>
    <col min="7945" max="7945" width="6.5546875" style="270" bestFit="1" customWidth="1"/>
    <col min="7946" max="7946" width="4.88671875" style="270" bestFit="1" customWidth="1"/>
    <col min="7947" max="7947" width="6.5546875" style="270" bestFit="1" customWidth="1"/>
    <col min="7948" max="7948" width="9.33203125" style="270" customWidth="1"/>
    <col min="7949" max="7949" width="7.33203125" style="270" customWidth="1"/>
    <col min="7950" max="7950" width="9.44140625" style="270" bestFit="1" customWidth="1"/>
    <col min="7951" max="7951" width="7.109375" style="270" bestFit="1" customWidth="1"/>
    <col min="7952" max="7952" width="11.33203125" style="270" bestFit="1" customWidth="1"/>
    <col min="7953" max="7953" width="7.6640625" style="270" bestFit="1" customWidth="1"/>
    <col min="7954" max="7954" width="10" style="270" bestFit="1" customWidth="1"/>
    <col min="7955" max="7955" width="8.88671875" style="270" customWidth="1"/>
    <col min="7956" max="7956" width="8.5546875" style="270" customWidth="1"/>
    <col min="7957" max="7957" width="6.6640625" style="270" customWidth="1"/>
    <col min="7958" max="7958" width="9.109375" style="270" bestFit="1" customWidth="1"/>
    <col min="7959" max="7959" width="8.5546875" style="270" bestFit="1" customWidth="1"/>
    <col min="7960" max="7960" width="8.109375" style="270" bestFit="1" customWidth="1"/>
    <col min="7961" max="7961" width="8.44140625" style="270" customWidth="1"/>
    <col min="7962" max="7962" width="7.33203125" style="270" customWidth="1"/>
    <col min="7963" max="7963" width="6" style="270" customWidth="1"/>
    <col min="7964" max="7964" width="6.88671875" style="270" customWidth="1"/>
    <col min="7965" max="7965" width="7.5546875" style="270" bestFit="1" customWidth="1"/>
    <col min="7966" max="7966" width="7.44140625" style="270" customWidth="1"/>
    <col min="7967" max="7967" width="8" style="270" customWidth="1"/>
    <col min="7968" max="7968" width="22.44140625" style="270" customWidth="1"/>
    <col min="7969" max="7969" width="26" style="270" bestFit="1" customWidth="1"/>
    <col min="7970" max="7970" width="11.6640625" style="270" bestFit="1" customWidth="1"/>
    <col min="7971" max="7971" width="3.33203125" style="270" bestFit="1" customWidth="1"/>
    <col min="7972" max="7972" width="4.6640625" style="270" bestFit="1" customWidth="1"/>
    <col min="7973" max="7973" width="16.109375" style="270" bestFit="1" customWidth="1"/>
    <col min="7974" max="7974" width="3.33203125" style="270" bestFit="1" customWidth="1"/>
    <col min="7975" max="7975" width="5.88671875" style="270" bestFit="1" customWidth="1"/>
    <col min="7976" max="7977" width="11.44140625" style="270"/>
    <col min="7978" max="7978" width="19" style="270" customWidth="1"/>
    <col min="7979" max="8191" width="11.44140625" style="270"/>
    <col min="8192" max="8193" width="2.6640625" style="270" customWidth="1"/>
    <col min="8194" max="8194" width="4.88671875" style="270" bestFit="1" customWidth="1"/>
    <col min="8195" max="8196" width="2.6640625" style="270" customWidth="1"/>
    <col min="8197" max="8197" width="4.88671875" style="270" bestFit="1" customWidth="1"/>
    <col min="8198" max="8198" width="7.44140625" style="270" bestFit="1" customWidth="1"/>
    <col min="8199" max="8199" width="7.88671875" style="270" bestFit="1" customWidth="1"/>
    <col min="8200" max="8200" width="5.33203125" style="270" bestFit="1" customWidth="1"/>
    <col min="8201" max="8201" width="6.5546875" style="270" bestFit="1" customWidth="1"/>
    <col min="8202" max="8202" width="4.88671875" style="270" bestFit="1" customWidth="1"/>
    <col min="8203" max="8203" width="6.5546875" style="270" bestFit="1" customWidth="1"/>
    <col min="8204" max="8204" width="9.33203125" style="270" customWidth="1"/>
    <col min="8205" max="8205" width="7.33203125" style="270" customWidth="1"/>
    <col min="8206" max="8206" width="9.44140625" style="270" bestFit="1" customWidth="1"/>
    <col min="8207" max="8207" width="7.109375" style="270" bestFit="1" customWidth="1"/>
    <col min="8208" max="8208" width="11.33203125" style="270" bestFit="1" customWidth="1"/>
    <col min="8209" max="8209" width="7.6640625" style="270" bestFit="1" customWidth="1"/>
    <col min="8210" max="8210" width="10" style="270" bestFit="1" customWidth="1"/>
    <col min="8211" max="8211" width="8.88671875" style="270" customWidth="1"/>
    <col min="8212" max="8212" width="8.5546875" style="270" customWidth="1"/>
    <col min="8213" max="8213" width="6.6640625" style="270" customWidth="1"/>
    <col min="8214" max="8214" width="9.109375" style="270" bestFit="1" customWidth="1"/>
    <col min="8215" max="8215" width="8.5546875" style="270" bestFit="1" customWidth="1"/>
    <col min="8216" max="8216" width="8.109375" style="270" bestFit="1" customWidth="1"/>
    <col min="8217" max="8217" width="8.44140625" style="270" customWidth="1"/>
    <col min="8218" max="8218" width="7.33203125" style="270" customWidth="1"/>
    <col min="8219" max="8219" width="6" style="270" customWidth="1"/>
    <col min="8220" max="8220" width="6.88671875" style="270" customWidth="1"/>
    <col min="8221" max="8221" width="7.5546875" style="270" bestFit="1" customWidth="1"/>
    <col min="8222" max="8222" width="7.44140625" style="270" customWidth="1"/>
    <col min="8223" max="8223" width="8" style="270" customWidth="1"/>
    <col min="8224" max="8224" width="22.44140625" style="270" customWidth="1"/>
    <col min="8225" max="8225" width="26" style="270" bestFit="1" customWidth="1"/>
    <col min="8226" max="8226" width="11.6640625" style="270" bestFit="1" customWidth="1"/>
    <col min="8227" max="8227" width="3.33203125" style="270" bestFit="1" customWidth="1"/>
    <col min="8228" max="8228" width="4.6640625" style="270" bestFit="1" customWidth="1"/>
    <col min="8229" max="8229" width="16.109375" style="270" bestFit="1" customWidth="1"/>
    <col min="8230" max="8230" width="3.33203125" style="270" bestFit="1" customWidth="1"/>
    <col min="8231" max="8231" width="5.88671875" style="270" bestFit="1" customWidth="1"/>
    <col min="8232" max="8233" width="11.44140625" style="270"/>
    <col min="8234" max="8234" width="19" style="270" customWidth="1"/>
    <col min="8235" max="8447" width="11.44140625" style="270"/>
    <col min="8448" max="8449" width="2.6640625" style="270" customWidth="1"/>
    <col min="8450" max="8450" width="4.88671875" style="270" bestFit="1" customWidth="1"/>
    <col min="8451" max="8452" width="2.6640625" style="270" customWidth="1"/>
    <col min="8453" max="8453" width="4.88671875" style="270" bestFit="1" customWidth="1"/>
    <col min="8454" max="8454" width="7.44140625" style="270" bestFit="1" customWidth="1"/>
    <col min="8455" max="8455" width="7.88671875" style="270" bestFit="1" customWidth="1"/>
    <col min="8456" max="8456" width="5.33203125" style="270" bestFit="1" customWidth="1"/>
    <col min="8457" max="8457" width="6.5546875" style="270" bestFit="1" customWidth="1"/>
    <col min="8458" max="8458" width="4.88671875" style="270" bestFit="1" customWidth="1"/>
    <col min="8459" max="8459" width="6.5546875" style="270" bestFit="1" customWidth="1"/>
    <col min="8460" max="8460" width="9.33203125" style="270" customWidth="1"/>
    <col min="8461" max="8461" width="7.33203125" style="270" customWidth="1"/>
    <col min="8462" max="8462" width="9.44140625" style="270" bestFit="1" customWidth="1"/>
    <col min="8463" max="8463" width="7.109375" style="270" bestFit="1" customWidth="1"/>
    <col min="8464" max="8464" width="11.33203125" style="270" bestFit="1" customWidth="1"/>
    <col min="8465" max="8465" width="7.6640625" style="270" bestFit="1" customWidth="1"/>
    <col min="8466" max="8466" width="10" style="270" bestFit="1" customWidth="1"/>
    <col min="8467" max="8467" width="8.88671875" style="270" customWidth="1"/>
    <col min="8468" max="8468" width="8.5546875" style="270" customWidth="1"/>
    <col min="8469" max="8469" width="6.6640625" style="270" customWidth="1"/>
    <col min="8470" max="8470" width="9.109375" style="270" bestFit="1" customWidth="1"/>
    <col min="8471" max="8471" width="8.5546875" style="270" bestFit="1" customWidth="1"/>
    <col min="8472" max="8472" width="8.109375" style="270" bestFit="1" customWidth="1"/>
    <col min="8473" max="8473" width="8.44140625" style="270" customWidth="1"/>
    <col min="8474" max="8474" width="7.33203125" style="270" customWidth="1"/>
    <col min="8475" max="8475" width="6" style="270" customWidth="1"/>
    <col min="8476" max="8476" width="6.88671875" style="270" customWidth="1"/>
    <col min="8477" max="8477" width="7.5546875" style="270" bestFit="1" customWidth="1"/>
    <col min="8478" max="8478" width="7.44140625" style="270" customWidth="1"/>
    <col min="8479" max="8479" width="8" style="270" customWidth="1"/>
    <col min="8480" max="8480" width="22.44140625" style="270" customWidth="1"/>
    <col min="8481" max="8481" width="26" style="270" bestFit="1" customWidth="1"/>
    <col min="8482" max="8482" width="11.6640625" style="270" bestFit="1" customWidth="1"/>
    <col min="8483" max="8483" width="3.33203125" style="270" bestFit="1" customWidth="1"/>
    <col min="8484" max="8484" width="4.6640625" style="270" bestFit="1" customWidth="1"/>
    <col min="8485" max="8485" width="16.109375" style="270" bestFit="1" customWidth="1"/>
    <col min="8486" max="8486" width="3.33203125" style="270" bestFit="1" customWidth="1"/>
    <col min="8487" max="8487" width="5.88671875" style="270" bestFit="1" customWidth="1"/>
    <col min="8488" max="8489" width="11.44140625" style="270"/>
    <col min="8490" max="8490" width="19" style="270" customWidth="1"/>
    <col min="8491" max="8703" width="11.44140625" style="270"/>
    <col min="8704" max="8705" width="2.6640625" style="270" customWidth="1"/>
    <col min="8706" max="8706" width="4.88671875" style="270" bestFit="1" customWidth="1"/>
    <col min="8707" max="8708" width="2.6640625" style="270" customWidth="1"/>
    <col min="8709" max="8709" width="4.88671875" style="270" bestFit="1" customWidth="1"/>
    <col min="8710" max="8710" width="7.44140625" style="270" bestFit="1" customWidth="1"/>
    <col min="8711" max="8711" width="7.88671875" style="270" bestFit="1" customWidth="1"/>
    <col min="8712" max="8712" width="5.33203125" style="270" bestFit="1" customWidth="1"/>
    <col min="8713" max="8713" width="6.5546875" style="270" bestFit="1" customWidth="1"/>
    <col min="8714" max="8714" width="4.88671875" style="270" bestFit="1" customWidth="1"/>
    <col min="8715" max="8715" width="6.5546875" style="270" bestFit="1" customWidth="1"/>
    <col min="8716" max="8716" width="9.33203125" style="270" customWidth="1"/>
    <col min="8717" max="8717" width="7.33203125" style="270" customWidth="1"/>
    <col min="8718" max="8718" width="9.44140625" style="270" bestFit="1" customWidth="1"/>
    <col min="8719" max="8719" width="7.109375" style="270" bestFit="1" customWidth="1"/>
    <col min="8720" max="8720" width="11.33203125" style="270" bestFit="1" customWidth="1"/>
    <col min="8721" max="8721" width="7.6640625" style="270" bestFit="1" customWidth="1"/>
    <col min="8722" max="8722" width="10" style="270" bestFit="1" customWidth="1"/>
    <col min="8723" max="8723" width="8.88671875" style="270" customWidth="1"/>
    <col min="8724" max="8724" width="8.5546875" style="270" customWidth="1"/>
    <col min="8725" max="8725" width="6.6640625" style="270" customWidth="1"/>
    <col min="8726" max="8726" width="9.109375" style="270" bestFit="1" customWidth="1"/>
    <col min="8727" max="8727" width="8.5546875" style="270" bestFit="1" customWidth="1"/>
    <col min="8728" max="8728" width="8.109375" style="270" bestFit="1" customWidth="1"/>
    <col min="8729" max="8729" width="8.44140625" style="270" customWidth="1"/>
    <col min="8730" max="8730" width="7.33203125" style="270" customWidth="1"/>
    <col min="8731" max="8731" width="6" style="270" customWidth="1"/>
    <col min="8732" max="8732" width="6.88671875" style="270" customWidth="1"/>
    <col min="8733" max="8733" width="7.5546875" style="270" bestFit="1" customWidth="1"/>
    <col min="8734" max="8734" width="7.44140625" style="270" customWidth="1"/>
    <col min="8735" max="8735" width="8" style="270" customWidth="1"/>
    <col min="8736" max="8736" width="22.44140625" style="270" customWidth="1"/>
    <col min="8737" max="8737" width="26" style="270" bestFit="1" customWidth="1"/>
    <col min="8738" max="8738" width="11.6640625" style="270" bestFit="1" customWidth="1"/>
    <col min="8739" max="8739" width="3.33203125" style="270" bestFit="1" customWidth="1"/>
    <col min="8740" max="8740" width="4.6640625" style="270" bestFit="1" customWidth="1"/>
    <col min="8741" max="8741" width="16.109375" style="270" bestFit="1" customWidth="1"/>
    <col min="8742" max="8742" width="3.33203125" style="270" bestFit="1" customWidth="1"/>
    <col min="8743" max="8743" width="5.88671875" style="270" bestFit="1" customWidth="1"/>
    <col min="8744" max="8745" width="11.44140625" style="270"/>
    <col min="8746" max="8746" width="19" style="270" customWidth="1"/>
    <col min="8747" max="8959" width="11.44140625" style="270"/>
    <col min="8960" max="8961" width="2.6640625" style="270" customWidth="1"/>
    <col min="8962" max="8962" width="4.88671875" style="270" bestFit="1" customWidth="1"/>
    <col min="8963" max="8964" width="2.6640625" style="270" customWidth="1"/>
    <col min="8965" max="8965" width="4.88671875" style="270" bestFit="1" customWidth="1"/>
    <col min="8966" max="8966" width="7.44140625" style="270" bestFit="1" customWidth="1"/>
    <col min="8967" max="8967" width="7.88671875" style="270" bestFit="1" customWidth="1"/>
    <col min="8968" max="8968" width="5.33203125" style="270" bestFit="1" customWidth="1"/>
    <col min="8969" max="8969" width="6.5546875" style="270" bestFit="1" customWidth="1"/>
    <col min="8970" max="8970" width="4.88671875" style="270" bestFit="1" customWidth="1"/>
    <col min="8971" max="8971" width="6.5546875" style="270" bestFit="1" customWidth="1"/>
    <col min="8972" max="8972" width="9.33203125" style="270" customWidth="1"/>
    <col min="8973" max="8973" width="7.33203125" style="270" customWidth="1"/>
    <col min="8974" max="8974" width="9.44140625" style="270" bestFit="1" customWidth="1"/>
    <col min="8975" max="8975" width="7.109375" style="270" bestFit="1" customWidth="1"/>
    <col min="8976" max="8976" width="11.33203125" style="270" bestFit="1" customWidth="1"/>
    <col min="8977" max="8977" width="7.6640625" style="270" bestFit="1" customWidth="1"/>
    <col min="8978" max="8978" width="10" style="270" bestFit="1" customWidth="1"/>
    <col min="8979" max="8979" width="8.88671875" style="270" customWidth="1"/>
    <col min="8980" max="8980" width="8.5546875" style="270" customWidth="1"/>
    <col min="8981" max="8981" width="6.6640625" style="270" customWidth="1"/>
    <col min="8982" max="8982" width="9.109375" style="270" bestFit="1" customWidth="1"/>
    <col min="8983" max="8983" width="8.5546875" style="270" bestFit="1" customWidth="1"/>
    <col min="8984" max="8984" width="8.109375" style="270" bestFit="1" customWidth="1"/>
    <col min="8985" max="8985" width="8.44140625" style="270" customWidth="1"/>
    <col min="8986" max="8986" width="7.33203125" style="270" customWidth="1"/>
    <col min="8987" max="8987" width="6" style="270" customWidth="1"/>
    <col min="8988" max="8988" width="6.88671875" style="270" customWidth="1"/>
    <col min="8989" max="8989" width="7.5546875" style="270" bestFit="1" customWidth="1"/>
    <col min="8990" max="8990" width="7.44140625" style="270" customWidth="1"/>
    <col min="8991" max="8991" width="8" style="270" customWidth="1"/>
    <col min="8992" max="8992" width="22.44140625" style="270" customWidth="1"/>
    <col min="8993" max="8993" width="26" style="270" bestFit="1" customWidth="1"/>
    <col min="8994" max="8994" width="11.6640625" style="270" bestFit="1" customWidth="1"/>
    <col min="8995" max="8995" width="3.33203125" style="270" bestFit="1" customWidth="1"/>
    <col min="8996" max="8996" width="4.6640625" style="270" bestFit="1" customWidth="1"/>
    <col min="8997" max="8997" width="16.109375" style="270" bestFit="1" customWidth="1"/>
    <col min="8998" max="8998" width="3.33203125" style="270" bestFit="1" customWidth="1"/>
    <col min="8999" max="8999" width="5.88671875" style="270" bestFit="1" customWidth="1"/>
    <col min="9000" max="9001" width="11.44140625" style="270"/>
    <col min="9002" max="9002" width="19" style="270" customWidth="1"/>
    <col min="9003" max="9215" width="11.44140625" style="270"/>
    <col min="9216" max="9217" width="2.6640625" style="270" customWidth="1"/>
    <col min="9218" max="9218" width="4.88671875" style="270" bestFit="1" customWidth="1"/>
    <col min="9219" max="9220" width="2.6640625" style="270" customWidth="1"/>
    <col min="9221" max="9221" width="4.88671875" style="270" bestFit="1" customWidth="1"/>
    <col min="9222" max="9222" width="7.44140625" style="270" bestFit="1" customWidth="1"/>
    <col min="9223" max="9223" width="7.88671875" style="270" bestFit="1" customWidth="1"/>
    <col min="9224" max="9224" width="5.33203125" style="270" bestFit="1" customWidth="1"/>
    <col min="9225" max="9225" width="6.5546875" style="270" bestFit="1" customWidth="1"/>
    <col min="9226" max="9226" width="4.88671875" style="270" bestFit="1" customWidth="1"/>
    <col min="9227" max="9227" width="6.5546875" style="270" bestFit="1" customWidth="1"/>
    <col min="9228" max="9228" width="9.33203125" style="270" customWidth="1"/>
    <col min="9229" max="9229" width="7.33203125" style="270" customWidth="1"/>
    <col min="9230" max="9230" width="9.44140625" style="270" bestFit="1" customWidth="1"/>
    <col min="9231" max="9231" width="7.109375" style="270" bestFit="1" customWidth="1"/>
    <col min="9232" max="9232" width="11.33203125" style="270" bestFit="1" customWidth="1"/>
    <col min="9233" max="9233" width="7.6640625" style="270" bestFit="1" customWidth="1"/>
    <col min="9234" max="9234" width="10" style="270" bestFit="1" customWidth="1"/>
    <col min="9235" max="9235" width="8.88671875" style="270" customWidth="1"/>
    <col min="9236" max="9236" width="8.5546875" style="270" customWidth="1"/>
    <col min="9237" max="9237" width="6.6640625" style="270" customWidth="1"/>
    <col min="9238" max="9238" width="9.109375" style="270" bestFit="1" customWidth="1"/>
    <col min="9239" max="9239" width="8.5546875" style="270" bestFit="1" customWidth="1"/>
    <col min="9240" max="9240" width="8.109375" style="270" bestFit="1" customWidth="1"/>
    <col min="9241" max="9241" width="8.44140625" style="270" customWidth="1"/>
    <col min="9242" max="9242" width="7.33203125" style="270" customWidth="1"/>
    <col min="9243" max="9243" width="6" style="270" customWidth="1"/>
    <col min="9244" max="9244" width="6.88671875" style="270" customWidth="1"/>
    <col min="9245" max="9245" width="7.5546875" style="270" bestFit="1" customWidth="1"/>
    <col min="9246" max="9246" width="7.44140625" style="270" customWidth="1"/>
    <col min="9247" max="9247" width="8" style="270" customWidth="1"/>
    <col min="9248" max="9248" width="22.44140625" style="270" customWidth="1"/>
    <col min="9249" max="9249" width="26" style="270" bestFit="1" customWidth="1"/>
    <col min="9250" max="9250" width="11.6640625" style="270" bestFit="1" customWidth="1"/>
    <col min="9251" max="9251" width="3.33203125" style="270" bestFit="1" customWidth="1"/>
    <col min="9252" max="9252" width="4.6640625" style="270" bestFit="1" customWidth="1"/>
    <col min="9253" max="9253" width="16.109375" style="270" bestFit="1" customWidth="1"/>
    <col min="9254" max="9254" width="3.33203125" style="270" bestFit="1" customWidth="1"/>
    <col min="9255" max="9255" width="5.88671875" style="270" bestFit="1" customWidth="1"/>
    <col min="9256" max="9257" width="11.44140625" style="270"/>
    <col min="9258" max="9258" width="19" style="270" customWidth="1"/>
    <col min="9259" max="9471" width="11.44140625" style="270"/>
    <col min="9472" max="9473" width="2.6640625" style="270" customWidth="1"/>
    <col min="9474" max="9474" width="4.88671875" style="270" bestFit="1" customWidth="1"/>
    <col min="9475" max="9476" width="2.6640625" style="270" customWidth="1"/>
    <col min="9477" max="9477" width="4.88671875" style="270" bestFit="1" customWidth="1"/>
    <col min="9478" max="9478" width="7.44140625" style="270" bestFit="1" customWidth="1"/>
    <col min="9479" max="9479" width="7.88671875" style="270" bestFit="1" customWidth="1"/>
    <col min="9480" max="9480" width="5.33203125" style="270" bestFit="1" customWidth="1"/>
    <col min="9481" max="9481" width="6.5546875" style="270" bestFit="1" customWidth="1"/>
    <col min="9482" max="9482" width="4.88671875" style="270" bestFit="1" customWidth="1"/>
    <col min="9483" max="9483" width="6.5546875" style="270" bestFit="1" customWidth="1"/>
    <col min="9484" max="9484" width="9.33203125" style="270" customWidth="1"/>
    <col min="9485" max="9485" width="7.33203125" style="270" customWidth="1"/>
    <col min="9486" max="9486" width="9.44140625" style="270" bestFit="1" customWidth="1"/>
    <col min="9487" max="9487" width="7.109375" style="270" bestFit="1" customWidth="1"/>
    <col min="9488" max="9488" width="11.33203125" style="270" bestFit="1" customWidth="1"/>
    <col min="9489" max="9489" width="7.6640625" style="270" bestFit="1" customWidth="1"/>
    <col min="9490" max="9490" width="10" style="270" bestFit="1" customWidth="1"/>
    <col min="9491" max="9491" width="8.88671875" style="270" customWidth="1"/>
    <col min="9492" max="9492" width="8.5546875" style="270" customWidth="1"/>
    <col min="9493" max="9493" width="6.6640625" style="270" customWidth="1"/>
    <col min="9494" max="9494" width="9.109375" style="270" bestFit="1" customWidth="1"/>
    <col min="9495" max="9495" width="8.5546875" style="270" bestFit="1" customWidth="1"/>
    <col min="9496" max="9496" width="8.109375" style="270" bestFit="1" customWidth="1"/>
    <col min="9497" max="9497" width="8.44140625" style="270" customWidth="1"/>
    <col min="9498" max="9498" width="7.33203125" style="270" customWidth="1"/>
    <col min="9499" max="9499" width="6" style="270" customWidth="1"/>
    <col min="9500" max="9500" width="6.88671875" style="270" customWidth="1"/>
    <col min="9501" max="9501" width="7.5546875" style="270" bestFit="1" customWidth="1"/>
    <col min="9502" max="9502" width="7.44140625" style="270" customWidth="1"/>
    <col min="9503" max="9503" width="8" style="270" customWidth="1"/>
    <col min="9504" max="9504" width="22.44140625" style="270" customWidth="1"/>
    <col min="9505" max="9505" width="26" style="270" bestFit="1" customWidth="1"/>
    <col min="9506" max="9506" width="11.6640625" style="270" bestFit="1" customWidth="1"/>
    <col min="9507" max="9507" width="3.33203125" style="270" bestFit="1" customWidth="1"/>
    <col min="9508" max="9508" width="4.6640625" style="270" bestFit="1" customWidth="1"/>
    <col min="9509" max="9509" width="16.109375" style="270" bestFit="1" customWidth="1"/>
    <col min="9510" max="9510" width="3.33203125" style="270" bestFit="1" customWidth="1"/>
    <col min="9511" max="9511" width="5.88671875" style="270" bestFit="1" customWidth="1"/>
    <col min="9512" max="9513" width="11.44140625" style="270"/>
    <col min="9514" max="9514" width="19" style="270" customWidth="1"/>
    <col min="9515" max="9727" width="11.44140625" style="270"/>
    <col min="9728" max="9729" width="2.6640625" style="270" customWidth="1"/>
    <col min="9730" max="9730" width="4.88671875" style="270" bestFit="1" customWidth="1"/>
    <col min="9731" max="9732" width="2.6640625" style="270" customWidth="1"/>
    <col min="9733" max="9733" width="4.88671875" style="270" bestFit="1" customWidth="1"/>
    <col min="9734" max="9734" width="7.44140625" style="270" bestFit="1" customWidth="1"/>
    <col min="9735" max="9735" width="7.88671875" style="270" bestFit="1" customWidth="1"/>
    <col min="9736" max="9736" width="5.33203125" style="270" bestFit="1" customWidth="1"/>
    <col min="9737" max="9737" width="6.5546875" style="270" bestFit="1" customWidth="1"/>
    <col min="9738" max="9738" width="4.88671875" style="270" bestFit="1" customWidth="1"/>
    <col min="9739" max="9739" width="6.5546875" style="270" bestFit="1" customWidth="1"/>
    <col min="9740" max="9740" width="9.33203125" style="270" customWidth="1"/>
    <col min="9741" max="9741" width="7.33203125" style="270" customWidth="1"/>
    <col min="9742" max="9742" width="9.44140625" style="270" bestFit="1" customWidth="1"/>
    <col min="9743" max="9743" width="7.109375" style="270" bestFit="1" customWidth="1"/>
    <col min="9744" max="9744" width="11.33203125" style="270" bestFit="1" customWidth="1"/>
    <col min="9745" max="9745" width="7.6640625" style="270" bestFit="1" customWidth="1"/>
    <col min="9746" max="9746" width="10" style="270" bestFit="1" customWidth="1"/>
    <col min="9747" max="9747" width="8.88671875" style="270" customWidth="1"/>
    <col min="9748" max="9748" width="8.5546875" style="270" customWidth="1"/>
    <col min="9749" max="9749" width="6.6640625" style="270" customWidth="1"/>
    <col min="9750" max="9750" width="9.109375" style="270" bestFit="1" customWidth="1"/>
    <col min="9751" max="9751" width="8.5546875" style="270" bestFit="1" customWidth="1"/>
    <col min="9752" max="9752" width="8.109375" style="270" bestFit="1" customWidth="1"/>
    <col min="9753" max="9753" width="8.44140625" style="270" customWidth="1"/>
    <col min="9754" max="9754" width="7.33203125" style="270" customWidth="1"/>
    <col min="9755" max="9755" width="6" style="270" customWidth="1"/>
    <col min="9756" max="9756" width="6.88671875" style="270" customWidth="1"/>
    <col min="9757" max="9757" width="7.5546875" style="270" bestFit="1" customWidth="1"/>
    <col min="9758" max="9758" width="7.44140625" style="270" customWidth="1"/>
    <col min="9759" max="9759" width="8" style="270" customWidth="1"/>
    <col min="9760" max="9760" width="22.44140625" style="270" customWidth="1"/>
    <col min="9761" max="9761" width="26" style="270" bestFit="1" customWidth="1"/>
    <col min="9762" max="9762" width="11.6640625" style="270" bestFit="1" customWidth="1"/>
    <col min="9763" max="9763" width="3.33203125" style="270" bestFit="1" customWidth="1"/>
    <col min="9764" max="9764" width="4.6640625" style="270" bestFit="1" customWidth="1"/>
    <col min="9765" max="9765" width="16.109375" style="270" bestFit="1" customWidth="1"/>
    <col min="9766" max="9766" width="3.33203125" style="270" bestFit="1" customWidth="1"/>
    <col min="9767" max="9767" width="5.88671875" style="270" bestFit="1" customWidth="1"/>
    <col min="9768" max="9769" width="11.44140625" style="270"/>
    <col min="9770" max="9770" width="19" style="270" customWidth="1"/>
    <col min="9771" max="9983" width="11.44140625" style="270"/>
    <col min="9984" max="9985" width="2.6640625" style="270" customWidth="1"/>
    <col min="9986" max="9986" width="4.88671875" style="270" bestFit="1" customWidth="1"/>
    <col min="9987" max="9988" width="2.6640625" style="270" customWidth="1"/>
    <col min="9989" max="9989" width="4.88671875" style="270" bestFit="1" customWidth="1"/>
    <col min="9990" max="9990" width="7.44140625" style="270" bestFit="1" customWidth="1"/>
    <col min="9991" max="9991" width="7.88671875" style="270" bestFit="1" customWidth="1"/>
    <col min="9992" max="9992" width="5.33203125" style="270" bestFit="1" customWidth="1"/>
    <col min="9993" max="9993" width="6.5546875" style="270" bestFit="1" customWidth="1"/>
    <col min="9994" max="9994" width="4.88671875" style="270" bestFit="1" customWidth="1"/>
    <col min="9995" max="9995" width="6.5546875" style="270" bestFit="1" customWidth="1"/>
    <col min="9996" max="9996" width="9.33203125" style="270" customWidth="1"/>
    <col min="9997" max="9997" width="7.33203125" style="270" customWidth="1"/>
    <col min="9998" max="9998" width="9.44140625" style="270" bestFit="1" customWidth="1"/>
    <col min="9999" max="9999" width="7.109375" style="270" bestFit="1" customWidth="1"/>
    <col min="10000" max="10000" width="11.33203125" style="270" bestFit="1" customWidth="1"/>
    <col min="10001" max="10001" width="7.6640625" style="270" bestFit="1" customWidth="1"/>
    <col min="10002" max="10002" width="10" style="270" bestFit="1" customWidth="1"/>
    <col min="10003" max="10003" width="8.88671875" style="270" customWidth="1"/>
    <col min="10004" max="10004" width="8.5546875" style="270" customWidth="1"/>
    <col min="10005" max="10005" width="6.6640625" style="270" customWidth="1"/>
    <col min="10006" max="10006" width="9.109375" style="270" bestFit="1" customWidth="1"/>
    <col min="10007" max="10007" width="8.5546875" style="270" bestFit="1" customWidth="1"/>
    <col min="10008" max="10008" width="8.109375" style="270" bestFit="1" customWidth="1"/>
    <col min="10009" max="10009" width="8.44140625" style="270" customWidth="1"/>
    <col min="10010" max="10010" width="7.33203125" style="270" customWidth="1"/>
    <col min="10011" max="10011" width="6" style="270" customWidth="1"/>
    <col min="10012" max="10012" width="6.88671875" style="270" customWidth="1"/>
    <col min="10013" max="10013" width="7.5546875" style="270" bestFit="1" customWidth="1"/>
    <col min="10014" max="10014" width="7.44140625" style="270" customWidth="1"/>
    <col min="10015" max="10015" width="8" style="270" customWidth="1"/>
    <col min="10016" max="10016" width="22.44140625" style="270" customWidth="1"/>
    <col min="10017" max="10017" width="26" style="270" bestFit="1" customWidth="1"/>
    <col min="10018" max="10018" width="11.6640625" style="270" bestFit="1" customWidth="1"/>
    <col min="10019" max="10019" width="3.33203125" style="270" bestFit="1" customWidth="1"/>
    <col min="10020" max="10020" width="4.6640625" style="270" bestFit="1" customWidth="1"/>
    <col min="10021" max="10021" width="16.109375" style="270" bestFit="1" customWidth="1"/>
    <col min="10022" max="10022" width="3.33203125" style="270" bestFit="1" customWidth="1"/>
    <col min="10023" max="10023" width="5.88671875" style="270" bestFit="1" customWidth="1"/>
    <col min="10024" max="10025" width="11.44140625" style="270"/>
    <col min="10026" max="10026" width="19" style="270" customWidth="1"/>
    <col min="10027" max="10239" width="11.44140625" style="270"/>
    <col min="10240" max="10241" width="2.6640625" style="270" customWidth="1"/>
    <col min="10242" max="10242" width="4.88671875" style="270" bestFit="1" customWidth="1"/>
    <col min="10243" max="10244" width="2.6640625" style="270" customWidth="1"/>
    <col min="10245" max="10245" width="4.88671875" style="270" bestFit="1" customWidth="1"/>
    <col min="10246" max="10246" width="7.44140625" style="270" bestFit="1" customWidth="1"/>
    <col min="10247" max="10247" width="7.88671875" style="270" bestFit="1" customWidth="1"/>
    <col min="10248" max="10248" width="5.33203125" style="270" bestFit="1" customWidth="1"/>
    <col min="10249" max="10249" width="6.5546875" style="270" bestFit="1" customWidth="1"/>
    <col min="10250" max="10250" width="4.88671875" style="270" bestFit="1" customWidth="1"/>
    <col min="10251" max="10251" width="6.5546875" style="270" bestFit="1" customWidth="1"/>
    <col min="10252" max="10252" width="9.33203125" style="270" customWidth="1"/>
    <col min="10253" max="10253" width="7.33203125" style="270" customWidth="1"/>
    <col min="10254" max="10254" width="9.44140625" style="270" bestFit="1" customWidth="1"/>
    <col min="10255" max="10255" width="7.109375" style="270" bestFit="1" customWidth="1"/>
    <col min="10256" max="10256" width="11.33203125" style="270" bestFit="1" customWidth="1"/>
    <col min="10257" max="10257" width="7.6640625" style="270" bestFit="1" customWidth="1"/>
    <col min="10258" max="10258" width="10" style="270" bestFit="1" customWidth="1"/>
    <col min="10259" max="10259" width="8.88671875" style="270" customWidth="1"/>
    <col min="10260" max="10260" width="8.5546875" style="270" customWidth="1"/>
    <col min="10261" max="10261" width="6.6640625" style="270" customWidth="1"/>
    <col min="10262" max="10262" width="9.109375" style="270" bestFit="1" customWidth="1"/>
    <col min="10263" max="10263" width="8.5546875" style="270" bestFit="1" customWidth="1"/>
    <col min="10264" max="10264" width="8.109375" style="270" bestFit="1" customWidth="1"/>
    <col min="10265" max="10265" width="8.44140625" style="270" customWidth="1"/>
    <col min="10266" max="10266" width="7.33203125" style="270" customWidth="1"/>
    <col min="10267" max="10267" width="6" style="270" customWidth="1"/>
    <col min="10268" max="10268" width="6.88671875" style="270" customWidth="1"/>
    <col min="10269" max="10269" width="7.5546875" style="270" bestFit="1" customWidth="1"/>
    <col min="10270" max="10270" width="7.44140625" style="270" customWidth="1"/>
    <col min="10271" max="10271" width="8" style="270" customWidth="1"/>
    <col min="10272" max="10272" width="22.44140625" style="270" customWidth="1"/>
    <col min="10273" max="10273" width="26" style="270" bestFit="1" customWidth="1"/>
    <col min="10274" max="10274" width="11.6640625" style="270" bestFit="1" customWidth="1"/>
    <col min="10275" max="10275" width="3.33203125" style="270" bestFit="1" customWidth="1"/>
    <col min="10276" max="10276" width="4.6640625" style="270" bestFit="1" customWidth="1"/>
    <col min="10277" max="10277" width="16.109375" style="270" bestFit="1" customWidth="1"/>
    <col min="10278" max="10278" width="3.33203125" style="270" bestFit="1" customWidth="1"/>
    <col min="10279" max="10279" width="5.88671875" style="270" bestFit="1" customWidth="1"/>
    <col min="10280" max="10281" width="11.44140625" style="270"/>
    <col min="10282" max="10282" width="19" style="270" customWidth="1"/>
    <col min="10283" max="10495" width="11.44140625" style="270"/>
    <col min="10496" max="10497" width="2.6640625" style="270" customWidth="1"/>
    <col min="10498" max="10498" width="4.88671875" style="270" bestFit="1" customWidth="1"/>
    <col min="10499" max="10500" width="2.6640625" style="270" customWidth="1"/>
    <col min="10501" max="10501" width="4.88671875" style="270" bestFit="1" customWidth="1"/>
    <col min="10502" max="10502" width="7.44140625" style="270" bestFit="1" customWidth="1"/>
    <col min="10503" max="10503" width="7.88671875" style="270" bestFit="1" customWidth="1"/>
    <col min="10504" max="10504" width="5.33203125" style="270" bestFit="1" customWidth="1"/>
    <col min="10505" max="10505" width="6.5546875" style="270" bestFit="1" customWidth="1"/>
    <col min="10506" max="10506" width="4.88671875" style="270" bestFit="1" customWidth="1"/>
    <col min="10507" max="10507" width="6.5546875" style="270" bestFit="1" customWidth="1"/>
    <col min="10508" max="10508" width="9.33203125" style="270" customWidth="1"/>
    <col min="10509" max="10509" width="7.33203125" style="270" customWidth="1"/>
    <col min="10510" max="10510" width="9.44140625" style="270" bestFit="1" customWidth="1"/>
    <col min="10511" max="10511" width="7.109375" style="270" bestFit="1" customWidth="1"/>
    <col min="10512" max="10512" width="11.33203125" style="270" bestFit="1" customWidth="1"/>
    <col min="10513" max="10513" width="7.6640625" style="270" bestFit="1" customWidth="1"/>
    <col min="10514" max="10514" width="10" style="270" bestFit="1" customWidth="1"/>
    <col min="10515" max="10515" width="8.88671875" style="270" customWidth="1"/>
    <col min="10516" max="10516" width="8.5546875" style="270" customWidth="1"/>
    <col min="10517" max="10517" width="6.6640625" style="270" customWidth="1"/>
    <col min="10518" max="10518" width="9.109375" style="270" bestFit="1" customWidth="1"/>
    <col min="10519" max="10519" width="8.5546875" style="270" bestFit="1" customWidth="1"/>
    <col min="10520" max="10520" width="8.109375" style="270" bestFit="1" customWidth="1"/>
    <col min="10521" max="10521" width="8.44140625" style="270" customWidth="1"/>
    <col min="10522" max="10522" width="7.33203125" style="270" customWidth="1"/>
    <col min="10523" max="10523" width="6" style="270" customWidth="1"/>
    <col min="10524" max="10524" width="6.88671875" style="270" customWidth="1"/>
    <col min="10525" max="10525" width="7.5546875" style="270" bestFit="1" customWidth="1"/>
    <col min="10526" max="10526" width="7.44140625" style="270" customWidth="1"/>
    <col min="10527" max="10527" width="8" style="270" customWidth="1"/>
    <col min="10528" max="10528" width="22.44140625" style="270" customWidth="1"/>
    <col min="10529" max="10529" width="26" style="270" bestFit="1" customWidth="1"/>
    <col min="10530" max="10530" width="11.6640625" style="270" bestFit="1" customWidth="1"/>
    <col min="10531" max="10531" width="3.33203125" style="270" bestFit="1" customWidth="1"/>
    <col min="10532" max="10532" width="4.6640625" style="270" bestFit="1" customWidth="1"/>
    <col min="10533" max="10533" width="16.109375" style="270" bestFit="1" customWidth="1"/>
    <col min="10534" max="10534" width="3.33203125" style="270" bestFit="1" customWidth="1"/>
    <col min="10535" max="10535" width="5.88671875" style="270" bestFit="1" customWidth="1"/>
    <col min="10536" max="10537" width="11.44140625" style="270"/>
    <col min="10538" max="10538" width="19" style="270" customWidth="1"/>
    <col min="10539" max="10751" width="11.44140625" style="270"/>
    <col min="10752" max="10753" width="2.6640625" style="270" customWidth="1"/>
    <col min="10754" max="10754" width="4.88671875" style="270" bestFit="1" customWidth="1"/>
    <col min="10755" max="10756" width="2.6640625" style="270" customWidth="1"/>
    <col min="10757" max="10757" width="4.88671875" style="270" bestFit="1" customWidth="1"/>
    <col min="10758" max="10758" width="7.44140625" style="270" bestFit="1" customWidth="1"/>
    <col min="10759" max="10759" width="7.88671875" style="270" bestFit="1" customWidth="1"/>
    <col min="10760" max="10760" width="5.33203125" style="270" bestFit="1" customWidth="1"/>
    <col min="10761" max="10761" width="6.5546875" style="270" bestFit="1" customWidth="1"/>
    <col min="10762" max="10762" width="4.88671875" style="270" bestFit="1" customWidth="1"/>
    <col min="10763" max="10763" width="6.5546875" style="270" bestFit="1" customWidth="1"/>
    <col min="10764" max="10764" width="9.33203125" style="270" customWidth="1"/>
    <col min="10765" max="10765" width="7.33203125" style="270" customWidth="1"/>
    <col min="10766" max="10766" width="9.44140625" style="270" bestFit="1" customWidth="1"/>
    <col min="10767" max="10767" width="7.109375" style="270" bestFit="1" customWidth="1"/>
    <col min="10768" max="10768" width="11.33203125" style="270" bestFit="1" customWidth="1"/>
    <col min="10769" max="10769" width="7.6640625" style="270" bestFit="1" customWidth="1"/>
    <col min="10770" max="10770" width="10" style="270" bestFit="1" customWidth="1"/>
    <col min="10771" max="10771" width="8.88671875" style="270" customWidth="1"/>
    <col min="10772" max="10772" width="8.5546875" style="270" customWidth="1"/>
    <col min="10773" max="10773" width="6.6640625" style="270" customWidth="1"/>
    <col min="10774" max="10774" width="9.109375" style="270" bestFit="1" customWidth="1"/>
    <col min="10775" max="10775" width="8.5546875" style="270" bestFit="1" customWidth="1"/>
    <col min="10776" max="10776" width="8.109375" style="270" bestFit="1" customWidth="1"/>
    <col min="10777" max="10777" width="8.44140625" style="270" customWidth="1"/>
    <col min="10778" max="10778" width="7.33203125" style="270" customWidth="1"/>
    <col min="10779" max="10779" width="6" style="270" customWidth="1"/>
    <col min="10780" max="10780" width="6.88671875" style="270" customWidth="1"/>
    <col min="10781" max="10781" width="7.5546875" style="270" bestFit="1" customWidth="1"/>
    <col min="10782" max="10782" width="7.44140625" style="270" customWidth="1"/>
    <col min="10783" max="10783" width="8" style="270" customWidth="1"/>
    <col min="10784" max="10784" width="22.44140625" style="270" customWidth="1"/>
    <col min="10785" max="10785" width="26" style="270" bestFit="1" customWidth="1"/>
    <col min="10786" max="10786" width="11.6640625" style="270" bestFit="1" customWidth="1"/>
    <col min="10787" max="10787" width="3.33203125" style="270" bestFit="1" customWidth="1"/>
    <col min="10788" max="10788" width="4.6640625" style="270" bestFit="1" customWidth="1"/>
    <col min="10789" max="10789" width="16.109375" style="270" bestFit="1" customWidth="1"/>
    <col min="10790" max="10790" width="3.33203125" style="270" bestFit="1" customWidth="1"/>
    <col min="10791" max="10791" width="5.88671875" style="270" bestFit="1" customWidth="1"/>
    <col min="10792" max="10793" width="11.44140625" style="270"/>
    <col min="10794" max="10794" width="19" style="270" customWidth="1"/>
    <col min="10795" max="11007" width="11.44140625" style="270"/>
    <col min="11008" max="11009" width="2.6640625" style="270" customWidth="1"/>
    <col min="11010" max="11010" width="4.88671875" style="270" bestFit="1" customWidth="1"/>
    <col min="11011" max="11012" width="2.6640625" style="270" customWidth="1"/>
    <col min="11013" max="11013" width="4.88671875" style="270" bestFit="1" customWidth="1"/>
    <col min="11014" max="11014" width="7.44140625" style="270" bestFit="1" customWidth="1"/>
    <col min="11015" max="11015" width="7.88671875" style="270" bestFit="1" customWidth="1"/>
    <col min="11016" max="11016" width="5.33203125" style="270" bestFit="1" customWidth="1"/>
    <col min="11017" max="11017" width="6.5546875" style="270" bestFit="1" customWidth="1"/>
    <col min="11018" max="11018" width="4.88671875" style="270" bestFit="1" customWidth="1"/>
    <col min="11019" max="11019" width="6.5546875" style="270" bestFit="1" customWidth="1"/>
    <col min="11020" max="11020" width="9.33203125" style="270" customWidth="1"/>
    <col min="11021" max="11021" width="7.33203125" style="270" customWidth="1"/>
    <col min="11022" max="11022" width="9.44140625" style="270" bestFit="1" customWidth="1"/>
    <col min="11023" max="11023" width="7.109375" style="270" bestFit="1" customWidth="1"/>
    <col min="11024" max="11024" width="11.33203125" style="270" bestFit="1" customWidth="1"/>
    <col min="11025" max="11025" width="7.6640625" style="270" bestFit="1" customWidth="1"/>
    <col min="11026" max="11026" width="10" style="270" bestFit="1" customWidth="1"/>
    <col min="11027" max="11027" width="8.88671875" style="270" customWidth="1"/>
    <col min="11028" max="11028" width="8.5546875" style="270" customWidth="1"/>
    <col min="11029" max="11029" width="6.6640625" style="270" customWidth="1"/>
    <col min="11030" max="11030" width="9.109375" style="270" bestFit="1" customWidth="1"/>
    <col min="11031" max="11031" width="8.5546875" style="270" bestFit="1" customWidth="1"/>
    <col min="11032" max="11032" width="8.109375" style="270" bestFit="1" customWidth="1"/>
    <col min="11033" max="11033" width="8.44140625" style="270" customWidth="1"/>
    <col min="11034" max="11034" width="7.33203125" style="270" customWidth="1"/>
    <col min="11035" max="11035" width="6" style="270" customWidth="1"/>
    <col min="11036" max="11036" width="6.88671875" style="270" customWidth="1"/>
    <col min="11037" max="11037" width="7.5546875" style="270" bestFit="1" customWidth="1"/>
    <col min="11038" max="11038" width="7.44140625" style="270" customWidth="1"/>
    <col min="11039" max="11039" width="8" style="270" customWidth="1"/>
    <col min="11040" max="11040" width="22.44140625" style="270" customWidth="1"/>
    <col min="11041" max="11041" width="26" style="270" bestFit="1" customWidth="1"/>
    <col min="11042" max="11042" width="11.6640625" style="270" bestFit="1" customWidth="1"/>
    <col min="11043" max="11043" width="3.33203125" style="270" bestFit="1" customWidth="1"/>
    <col min="11044" max="11044" width="4.6640625" style="270" bestFit="1" customWidth="1"/>
    <col min="11045" max="11045" width="16.109375" style="270" bestFit="1" customWidth="1"/>
    <col min="11046" max="11046" width="3.33203125" style="270" bestFit="1" customWidth="1"/>
    <col min="11047" max="11047" width="5.88671875" style="270" bestFit="1" customWidth="1"/>
    <col min="11048" max="11049" width="11.44140625" style="270"/>
    <col min="11050" max="11050" width="19" style="270" customWidth="1"/>
    <col min="11051" max="11263" width="11.44140625" style="270"/>
    <col min="11264" max="11265" width="2.6640625" style="270" customWidth="1"/>
    <col min="11266" max="11266" width="4.88671875" style="270" bestFit="1" customWidth="1"/>
    <col min="11267" max="11268" width="2.6640625" style="270" customWidth="1"/>
    <col min="11269" max="11269" width="4.88671875" style="270" bestFit="1" customWidth="1"/>
    <col min="11270" max="11270" width="7.44140625" style="270" bestFit="1" customWidth="1"/>
    <col min="11271" max="11271" width="7.88671875" style="270" bestFit="1" customWidth="1"/>
    <col min="11272" max="11272" width="5.33203125" style="270" bestFit="1" customWidth="1"/>
    <col min="11273" max="11273" width="6.5546875" style="270" bestFit="1" customWidth="1"/>
    <col min="11274" max="11274" width="4.88671875" style="270" bestFit="1" customWidth="1"/>
    <col min="11275" max="11275" width="6.5546875" style="270" bestFit="1" customWidth="1"/>
    <col min="11276" max="11276" width="9.33203125" style="270" customWidth="1"/>
    <col min="11277" max="11277" width="7.33203125" style="270" customWidth="1"/>
    <col min="11278" max="11278" width="9.44140625" style="270" bestFit="1" customWidth="1"/>
    <col min="11279" max="11279" width="7.109375" style="270" bestFit="1" customWidth="1"/>
    <col min="11280" max="11280" width="11.33203125" style="270" bestFit="1" customWidth="1"/>
    <col min="11281" max="11281" width="7.6640625" style="270" bestFit="1" customWidth="1"/>
    <col min="11282" max="11282" width="10" style="270" bestFit="1" customWidth="1"/>
    <col min="11283" max="11283" width="8.88671875" style="270" customWidth="1"/>
    <col min="11284" max="11284" width="8.5546875" style="270" customWidth="1"/>
    <col min="11285" max="11285" width="6.6640625" style="270" customWidth="1"/>
    <col min="11286" max="11286" width="9.109375" style="270" bestFit="1" customWidth="1"/>
    <col min="11287" max="11287" width="8.5546875" style="270" bestFit="1" customWidth="1"/>
    <col min="11288" max="11288" width="8.109375" style="270" bestFit="1" customWidth="1"/>
    <col min="11289" max="11289" width="8.44140625" style="270" customWidth="1"/>
    <col min="11290" max="11290" width="7.33203125" style="270" customWidth="1"/>
    <col min="11291" max="11291" width="6" style="270" customWidth="1"/>
    <col min="11292" max="11292" width="6.88671875" style="270" customWidth="1"/>
    <col min="11293" max="11293" width="7.5546875" style="270" bestFit="1" customWidth="1"/>
    <col min="11294" max="11294" width="7.44140625" style="270" customWidth="1"/>
    <col min="11295" max="11295" width="8" style="270" customWidth="1"/>
    <col min="11296" max="11296" width="22.44140625" style="270" customWidth="1"/>
    <col min="11297" max="11297" width="26" style="270" bestFit="1" customWidth="1"/>
    <col min="11298" max="11298" width="11.6640625" style="270" bestFit="1" customWidth="1"/>
    <col min="11299" max="11299" width="3.33203125" style="270" bestFit="1" customWidth="1"/>
    <col min="11300" max="11300" width="4.6640625" style="270" bestFit="1" customWidth="1"/>
    <col min="11301" max="11301" width="16.109375" style="270" bestFit="1" customWidth="1"/>
    <col min="11302" max="11302" width="3.33203125" style="270" bestFit="1" customWidth="1"/>
    <col min="11303" max="11303" width="5.88671875" style="270" bestFit="1" customWidth="1"/>
    <col min="11304" max="11305" width="11.44140625" style="270"/>
    <col min="11306" max="11306" width="19" style="270" customWidth="1"/>
    <col min="11307" max="11519" width="11.44140625" style="270"/>
    <col min="11520" max="11521" width="2.6640625" style="270" customWidth="1"/>
    <col min="11522" max="11522" width="4.88671875" style="270" bestFit="1" customWidth="1"/>
    <col min="11523" max="11524" width="2.6640625" style="270" customWidth="1"/>
    <col min="11525" max="11525" width="4.88671875" style="270" bestFit="1" customWidth="1"/>
    <col min="11526" max="11526" width="7.44140625" style="270" bestFit="1" customWidth="1"/>
    <col min="11527" max="11527" width="7.88671875" style="270" bestFit="1" customWidth="1"/>
    <col min="11528" max="11528" width="5.33203125" style="270" bestFit="1" customWidth="1"/>
    <col min="11529" max="11529" width="6.5546875" style="270" bestFit="1" customWidth="1"/>
    <col min="11530" max="11530" width="4.88671875" style="270" bestFit="1" customWidth="1"/>
    <col min="11531" max="11531" width="6.5546875" style="270" bestFit="1" customWidth="1"/>
    <col min="11532" max="11532" width="9.33203125" style="270" customWidth="1"/>
    <col min="11533" max="11533" width="7.33203125" style="270" customWidth="1"/>
    <col min="11534" max="11534" width="9.44140625" style="270" bestFit="1" customWidth="1"/>
    <col min="11535" max="11535" width="7.109375" style="270" bestFit="1" customWidth="1"/>
    <col min="11536" max="11536" width="11.33203125" style="270" bestFit="1" customWidth="1"/>
    <col min="11537" max="11537" width="7.6640625" style="270" bestFit="1" customWidth="1"/>
    <col min="11538" max="11538" width="10" style="270" bestFit="1" customWidth="1"/>
    <col min="11539" max="11539" width="8.88671875" style="270" customWidth="1"/>
    <col min="11540" max="11540" width="8.5546875" style="270" customWidth="1"/>
    <col min="11541" max="11541" width="6.6640625" style="270" customWidth="1"/>
    <col min="11542" max="11542" width="9.109375" style="270" bestFit="1" customWidth="1"/>
    <col min="11543" max="11543" width="8.5546875" style="270" bestFit="1" customWidth="1"/>
    <col min="11544" max="11544" width="8.109375" style="270" bestFit="1" customWidth="1"/>
    <col min="11545" max="11545" width="8.44140625" style="270" customWidth="1"/>
    <col min="11546" max="11546" width="7.33203125" style="270" customWidth="1"/>
    <col min="11547" max="11547" width="6" style="270" customWidth="1"/>
    <col min="11548" max="11548" width="6.88671875" style="270" customWidth="1"/>
    <col min="11549" max="11549" width="7.5546875" style="270" bestFit="1" customWidth="1"/>
    <col min="11550" max="11550" width="7.44140625" style="270" customWidth="1"/>
    <col min="11551" max="11551" width="8" style="270" customWidth="1"/>
    <col min="11552" max="11552" width="22.44140625" style="270" customWidth="1"/>
    <col min="11553" max="11553" width="26" style="270" bestFit="1" customWidth="1"/>
    <col min="11554" max="11554" width="11.6640625" style="270" bestFit="1" customWidth="1"/>
    <col min="11555" max="11555" width="3.33203125" style="270" bestFit="1" customWidth="1"/>
    <col min="11556" max="11556" width="4.6640625" style="270" bestFit="1" customWidth="1"/>
    <col min="11557" max="11557" width="16.109375" style="270" bestFit="1" customWidth="1"/>
    <col min="11558" max="11558" width="3.33203125" style="270" bestFit="1" customWidth="1"/>
    <col min="11559" max="11559" width="5.88671875" style="270" bestFit="1" customWidth="1"/>
    <col min="11560" max="11561" width="11.44140625" style="270"/>
    <col min="11562" max="11562" width="19" style="270" customWidth="1"/>
    <col min="11563" max="11775" width="11.44140625" style="270"/>
    <col min="11776" max="11777" width="2.6640625" style="270" customWidth="1"/>
    <col min="11778" max="11778" width="4.88671875" style="270" bestFit="1" customWidth="1"/>
    <col min="11779" max="11780" width="2.6640625" style="270" customWidth="1"/>
    <col min="11781" max="11781" width="4.88671875" style="270" bestFit="1" customWidth="1"/>
    <col min="11782" max="11782" width="7.44140625" style="270" bestFit="1" customWidth="1"/>
    <col min="11783" max="11783" width="7.88671875" style="270" bestFit="1" customWidth="1"/>
    <col min="11784" max="11784" width="5.33203125" style="270" bestFit="1" customWidth="1"/>
    <col min="11785" max="11785" width="6.5546875" style="270" bestFit="1" customWidth="1"/>
    <col min="11786" max="11786" width="4.88671875" style="270" bestFit="1" customWidth="1"/>
    <col min="11787" max="11787" width="6.5546875" style="270" bestFit="1" customWidth="1"/>
    <col min="11788" max="11788" width="9.33203125" style="270" customWidth="1"/>
    <col min="11789" max="11789" width="7.33203125" style="270" customWidth="1"/>
    <col min="11790" max="11790" width="9.44140625" style="270" bestFit="1" customWidth="1"/>
    <col min="11791" max="11791" width="7.109375" style="270" bestFit="1" customWidth="1"/>
    <col min="11792" max="11792" width="11.33203125" style="270" bestFit="1" customWidth="1"/>
    <col min="11793" max="11793" width="7.6640625" style="270" bestFit="1" customWidth="1"/>
    <col min="11794" max="11794" width="10" style="270" bestFit="1" customWidth="1"/>
    <col min="11795" max="11795" width="8.88671875" style="270" customWidth="1"/>
    <col min="11796" max="11796" width="8.5546875" style="270" customWidth="1"/>
    <col min="11797" max="11797" width="6.6640625" style="270" customWidth="1"/>
    <col min="11798" max="11798" width="9.109375" style="270" bestFit="1" customWidth="1"/>
    <col min="11799" max="11799" width="8.5546875" style="270" bestFit="1" customWidth="1"/>
    <col min="11800" max="11800" width="8.109375" style="270" bestFit="1" customWidth="1"/>
    <col min="11801" max="11801" width="8.44140625" style="270" customWidth="1"/>
    <col min="11802" max="11802" width="7.33203125" style="270" customWidth="1"/>
    <col min="11803" max="11803" width="6" style="270" customWidth="1"/>
    <col min="11804" max="11804" width="6.88671875" style="270" customWidth="1"/>
    <col min="11805" max="11805" width="7.5546875" style="270" bestFit="1" customWidth="1"/>
    <col min="11806" max="11806" width="7.44140625" style="270" customWidth="1"/>
    <col min="11807" max="11807" width="8" style="270" customWidth="1"/>
    <col min="11808" max="11808" width="22.44140625" style="270" customWidth="1"/>
    <col min="11809" max="11809" width="26" style="270" bestFit="1" customWidth="1"/>
    <col min="11810" max="11810" width="11.6640625" style="270" bestFit="1" customWidth="1"/>
    <col min="11811" max="11811" width="3.33203125" style="270" bestFit="1" customWidth="1"/>
    <col min="11812" max="11812" width="4.6640625" style="270" bestFit="1" customWidth="1"/>
    <col min="11813" max="11813" width="16.109375" style="270" bestFit="1" customWidth="1"/>
    <col min="11814" max="11814" width="3.33203125" style="270" bestFit="1" customWidth="1"/>
    <col min="11815" max="11815" width="5.88671875" style="270" bestFit="1" customWidth="1"/>
    <col min="11816" max="11817" width="11.44140625" style="270"/>
    <col min="11818" max="11818" width="19" style="270" customWidth="1"/>
    <col min="11819" max="12031" width="11.44140625" style="270"/>
    <col min="12032" max="12033" width="2.6640625" style="270" customWidth="1"/>
    <col min="12034" max="12034" width="4.88671875" style="270" bestFit="1" customWidth="1"/>
    <col min="12035" max="12036" width="2.6640625" style="270" customWidth="1"/>
    <col min="12037" max="12037" width="4.88671875" style="270" bestFit="1" customWidth="1"/>
    <col min="12038" max="12038" width="7.44140625" style="270" bestFit="1" customWidth="1"/>
    <col min="12039" max="12039" width="7.88671875" style="270" bestFit="1" customWidth="1"/>
    <col min="12040" max="12040" width="5.33203125" style="270" bestFit="1" customWidth="1"/>
    <col min="12041" max="12041" width="6.5546875" style="270" bestFit="1" customWidth="1"/>
    <col min="12042" max="12042" width="4.88671875" style="270" bestFit="1" customWidth="1"/>
    <col min="12043" max="12043" width="6.5546875" style="270" bestFit="1" customWidth="1"/>
    <col min="12044" max="12044" width="9.33203125" style="270" customWidth="1"/>
    <col min="12045" max="12045" width="7.33203125" style="270" customWidth="1"/>
    <col min="12046" max="12046" width="9.44140625" style="270" bestFit="1" customWidth="1"/>
    <col min="12047" max="12047" width="7.109375" style="270" bestFit="1" customWidth="1"/>
    <col min="12048" max="12048" width="11.33203125" style="270" bestFit="1" customWidth="1"/>
    <col min="12049" max="12049" width="7.6640625" style="270" bestFit="1" customWidth="1"/>
    <col min="12050" max="12050" width="10" style="270" bestFit="1" customWidth="1"/>
    <col min="12051" max="12051" width="8.88671875" style="270" customWidth="1"/>
    <col min="12052" max="12052" width="8.5546875" style="270" customWidth="1"/>
    <col min="12053" max="12053" width="6.6640625" style="270" customWidth="1"/>
    <col min="12054" max="12054" width="9.109375" style="270" bestFit="1" customWidth="1"/>
    <col min="12055" max="12055" width="8.5546875" style="270" bestFit="1" customWidth="1"/>
    <col min="12056" max="12056" width="8.109375" style="270" bestFit="1" customWidth="1"/>
    <col min="12057" max="12057" width="8.44140625" style="270" customWidth="1"/>
    <col min="12058" max="12058" width="7.33203125" style="270" customWidth="1"/>
    <col min="12059" max="12059" width="6" style="270" customWidth="1"/>
    <col min="12060" max="12060" width="6.88671875" style="270" customWidth="1"/>
    <col min="12061" max="12061" width="7.5546875" style="270" bestFit="1" customWidth="1"/>
    <col min="12062" max="12062" width="7.44140625" style="270" customWidth="1"/>
    <col min="12063" max="12063" width="8" style="270" customWidth="1"/>
    <col min="12064" max="12064" width="22.44140625" style="270" customWidth="1"/>
    <col min="12065" max="12065" width="26" style="270" bestFit="1" customWidth="1"/>
    <col min="12066" max="12066" width="11.6640625" style="270" bestFit="1" customWidth="1"/>
    <col min="12067" max="12067" width="3.33203125" style="270" bestFit="1" customWidth="1"/>
    <col min="12068" max="12068" width="4.6640625" style="270" bestFit="1" customWidth="1"/>
    <col min="12069" max="12069" width="16.109375" style="270" bestFit="1" customWidth="1"/>
    <col min="12070" max="12070" width="3.33203125" style="270" bestFit="1" customWidth="1"/>
    <col min="12071" max="12071" width="5.88671875" style="270" bestFit="1" customWidth="1"/>
    <col min="12072" max="12073" width="11.44140625" style="270"/>
    <col min="12074" max="12074" width="19" style="270" customWidth="1"/>
    <col min="12075" max="12287" width="11.44140625" style="270"/>
    <col min="12288" max="12289" width="2.6640625" style="270" customWidth="1"/>
    <col min="12290" max="12290" width="4.88671875" style="270" bestFit="1" customWidth="1"/>
    <col min="12291" max="12292" width="2.6640625" style="270" customWidth="1"/>
    <col min="12293" max="12293" width="4.88671875" style="270" bestFit="1" customWidth="1"/>
    <col min="12294" max="12294" width="7.44140625" style="270" bestFit="1" customWidth="1"/>
    <col min="12295" max="12295" width="7.88671875" style="270" bestFit="1" customWidth="1"/>
    <col min="12296" max="12296" width="5.33203125" style="270" bestFit="1" customWidth="1"/>
    <col min="12297" max="12297" width="6.5546875" style="270" bestFit="1" customWidth="1"/>
    <col min="12298" max="12298" width="4.88671875" style="270" bestFit="1" customWidth="1"/>
    <col min="12299" max="12299" width="6.5546875" style="270" bestFit="1" customWidth="1"/>
    <col min="12300" max="12300" width="9.33203125" style="270" customWidth="1"/>
    <col min="12301" max="12301" width="7.33203125" style="270" customWidth="1"/>
    <col min="12302" max="12302" width="9.44140625" style="270" bestFit="1" customWidth="1"/>
    <col min="12303" max="12303" width="7.109375" style="270" bestFit="1" customWidth="1"/>
    <col min="12304" max="12304" width="11.33203125" style="270" bestFit="1" customWidth="1"/>
    <col min="12305" max="12305" width="7.6640625" style="270" bestFit="1" customWidth="1"/>
    <col min="12306" max="12306" width="10" style="270" bestFit="1" customWidth="1"/>
    <col min="12307" max="12307" width="8.88671875" style="270" customWidth="1"/>
    <col min="12308" max="12308" width="8.5546875" style="270" customWidth="1"/>
    <col min="12309" max="12309" width="6.6640625" style="270" customWidth="1"/>
    <col min="12310" max="12310" width="9.109375" style="270" bestFit="1" customWidth="1"/>
    <col min="12311" max="12311" width="8.5546875" style="270" bestFit="1" customWidth="1"/>
    <col min="12312" max="12312" width="8.109375" style="270" bestFit="1" customWidth="1"/>
    <col min="12313" max="12313" width="8.44140625" style="270" customWidth="1"/>
    <col min="12314" max="12314" width="7.33203125" style="270" customWidth="1"/>
    <col min="12315" max="12315" width="6" style="270" customWidth="1"/>
    <col min="12316" max="12316" width="6.88671875" style="270" customWidth="1"/>
    <col min="12317" max="12317" width="7.5546875" style="270" bestFit="1" customWidth="1"/>
    <col min="12318" max="12318" width="7.44140625" style="270" customWidth="1"/>
    <col min="12319" max="12319" width="8" style="270" customWidth="1"/>
    <col min="12320" max="12320" width="22.44140625" style="270" customWidth="1"/>
    <col min="12321" max="12321" width="26" style="270" bestFit="1" customWidth="1"/>
    <col min="12322" max="12322" width="11.6640625" style="270" bestFit="1" customWidth="1"/>
    <col min="12323" max="12323" width="3.33203125" style="270" bestFit="1" customWidth="1"/>
    <col min="12324" max="12324" width="4.6640625" style="270" bestFit="1" customWidth="1"/>
    <col min="12325" max="12325" width="16.109375" style="270" bestFit="1" customWidth="1"/>
    <col min="12326" max="12326" width="3.33203125" style="270" bestFit="1" customWidth="1"/>
    <col min="12327" max="12327" width="5.88671875" style="270" bestFit="1" customWidth="1"/>
    <col min="12328" max="12329" width="11.44140625" style="270"/>
    <col min="12330" max="12330" width="19" style="270" customWidth="1"/>
    <col min="12331" max="12543" width="11.44140625" style="270"/>
    <col min="12544" max="12545" width="2.6640625" style="270" customWidth="1"/>
    <col min="12546" max="12546" width="4.88671875" style="270" bestFit="1" customWidth="1"/>
    <col min="12547" max="12548" width="2.6640625" style="270" customWidth="1"/>
    <col min="12549" max="12549" width="4.88671875" style="270" bestFit="1" customWidth="1"/>
    <col min="12550" max="12550" width="7.44140625" style="270" bestFit="1" customWidth="1"/>
    <col min="12551" max="12551" width="7.88671875" style="270" bestFit="1" customWidth="1"/>
    <col min="12552" max="12552" width="5.33203125" style="270" bestFit="1" customWidth="1"/>
    <col min="12553" max="12553" width="6.5546875" style="270" bestFit="1" customWidth="1"/>
    <col min="12554" max="12554" width="4.88671875" style="270" bestFit="1" customWidth="1"/>
    <col min="12555" max="12555" width="6.5546875" style="270" bestFit="1" customWidth="1"/>
    <col min="12556" max="12556" width="9.33203125" style="270" customWidth="1"/>
    <col min="12557" max="12557" width="7.33203125" style="270" customWidth="1"/>
    <col min="12558" max="12558" width="9.44140625" style="270" bestFit="1" customWidth="1"/>
    <col min="12559" max="12559" width="7.109375" style="270" bestFit="1" customWidth="1"/>
    <col min="12560" max="12560" width="11.33203125" style="270" bestFit="1" customWidth="1"/>
    <col min="12561" max="12561" width="7.6640625" style="270" bestFit="1" customWidth="1"/>
    <col min="12562" max="12562" width="10" style="270" bestFit="1" customWidth="1"/>
    <col min="12563" max="12563" width="8.88671875" style="270" customWidth="1"/>
    <col min="12564" max="12564" width="8.5546875" style="270" customWidth="1"/>
    <col min="12565" max="12565" width="6.6640625" style="270" customWidth="1"/>
    <col min="12566" max="12566" width="9.109375" style="270" bestFit="1" customWidth="1"/>
    <col min="12567" max="12567" width="8.5546875" style="270" bestFit="1" customWidth="1"/>
    <col min="12568" max="12568" width="8.109375" style="270" bestFit="1" customWidth="1"/>
    <col min="12569" max="12569" width="8.44140625" style="270" customWidth="1"/>
    <col min="12570" max="12570" width="7.33203125" style="270" customWidth="1"/>
    <col min="12571" max="12571" width="6" style="270" customWidth="1"/>
    <col min="12572" max="12572" width="6.88671875" style="270" customWidth="1"/>
    <col min="12573" max="12573" width="7.5546875" style="270" bestFit="1" customWidth="1"/>
    <col min="12574" max="12574" width="7.44140625" style="270" customWidth="1"/>
    <col min="12575" max="12575" width="8" style="270" customWidth="1"/>
    <col min="12576" max="12576" width="22.44140625" style="270" customWidth="1"/>
    <col min="12577" max="12577" width="26" style="270" bestFit="1" customWidth="1"/>
    <col min="12578" max="12578" width="11.6640625" style="270" bestFit="1" customWidth="1"/>
    <col min="12579" max="12579" width="3.33203125" style="270" bestFit="1" customWidth="1"/>
    <col min="12580" max="12580" width="4.6640625" style="270" bestFit="1" customWidth="1"/>
    <col min="12581" max="12581" width="16.109375" style="270" bestFit="1" customWidth="1"/>
    <col min="12582" max="12582" width="3.33203125" style="270" bestFit="1" customWidth="1"/>
    <col min="12583" max="12583" width="5.88671875" style="270" bestFit="1" customWidth="1"/>
    <col min="12584" max="12585" width="11.44140625" style="270"/>
    <col min="12586" max="12586" width="19" style="270" customWidth="1"/>
    <col min="12587" max="12799" width="11.44140625" style="270"/>
    <col min="12800" max="12801" width="2.6640625" style="270" customWidth="1"/>
    <col min="12802" max="12802" width="4.88671875" style="270" bestFit="1" customWidth="1"/>
    <col min="12803" max="12804" width="2.6640625" style="270" customWidth="1"/>
    <col min="12805" max="12805" width="4.88671875" style="270" bestFit="1" customWidth="1"/>
    <col min="12806" max="12806" width="7.44140625" style="270" bestFit="1" customWidth="1"/>
    <col min="12807" max="12807" width="7.88671875" style="270" bestFit="1" customWidth="1"/>
    <col min="12808" max="12808" width="5.33203125" style="270" bestFit="1" customWidth="1"/>
    <col min="12809" max="12809" width="6.5546875" style="270" bestFit="1" customWidth="1"/>
    <col min="12810" max="12810" width="4.88671875" style="270" bestFit="1" customWidth="1"/>
    <col min="12811" max="12811" width="6.5546875" style="270" bestFit="1" customWidth="1"/>
    <col min="12812" max="12812" width="9.33203125" style="270" customWidth="1"/>
    <col min="12813" max="12813" width="7.33203125" style="270" customWidth="1"/>
    <col min="12814" max="12814" width="9.44140625" style="270" bestFit="1" customWidth="1"/>
    <col min="12815" max="12815" width="7.109375" style="270" bestFit="1" customWidth="1"/>
    <col min="12816" max="12816" width="11.33203125" style="270" bestFit="1" customWidth="1"/>
    <col min="12817" max="12817" width="7.6640625" style="270" bestFit="1" customWidth="1"/>
    <col min="12818" max="12818" width="10" style="270" bestFit="1" customWidth="1"/>
    <col min="12819" max="12819" width="8.88671875" style="270" customWidth="1"/>
    <col min="12820" max="12820" width="8.5546875" style="270" customWidth="1"/>
    <col min="12821" max="12821" width="6.6640625" style="270" customWidth="1"/>
    <col min="12822" max="12822" width="9.109375" style="270" bestFit="1" customWidth="1"/>
    <col min="12823" max="12823" width="8.5546875" style="270" bestFit="1" customWidth="1"/>
    <col min="12824" max="12824" width="8.109375" style="270" bestFit="1" customWidth="1"/>
    <col min="12825" max="12825" width="8.44140625" style="270" customWidth="1"/>
    <col min="12826" max="12826" width="7.33203125" style="270" customWidth="1"/>
    <col min="12827" max="12827" width="6" style="270" customWidth="1"/>
    <col min="12828" max="12828" width="6.88671875" style="270" customWidth="1"/>
    <col min="12829" max="12829" width="7.5546875" style="270" bestFit="1" customWidth="1"/>
    <col min="12830" max="12830" width="7.44140625" style="270" customWidth="1"/>
    <col min="12831" max="12831" width="8" style="270" customWidth="1"/>
    <col min="12832" max="12832" width="22.44140625" style="270" customWidth="1"/>
    <col min="12833" max="12833" width="26" style="270" bestFit="1" customWidth="1"/>
    <col min="12834" max="12834" width="11.6640625" style="270" bestFit="1" customWidth="1"/>
    <col min="12835" max="12835" width="3.33203125" style="270" bestFit="1" customWidth="1"/>
    <col min="12836" max="12836" width="4.6640625" style="270" bestFit="1" customWidth="1"/>
    <col min="12837" max="12837" width="16.109375" style="270" bestFit="1" customWidth="1"/>
    <col min="12838" max="12838" width="3.33203125" style="270" bestFit="1" customWidth="1"/>
    <col min="12839" max="12839" width="5.88671875" style="270" bestFit="1" customWidth="1"/>
    <col min="12840" max="12841" width="11.44140625" style="270"/>
    <col min="12842" max="12842" width="19" style="270" customWidth="1"/>
    <col min="12843" max="13055" width="11.44140625" style="270"/>
    <col min="13056" max="13057" width="2.6640625" style="270" customWidth="1"/>
    <col min="13058" max="13058" width="4.88671875" style="270" bestFit="1" customWidth="1"/>
    <col min="13059" max="13060" width="2.6640625" style="270" customWidth="1"/>
    <col min="13061" max="13061" width="4.88671875" style="270" bestFit="1" customWidth="1"/>
    <col min="13062" max="13062" width="7.44140625" style="270" bestFit="1" customWidth="1"/>
    <col min="13063" max="13063" width="7.88671875" style="270" bestFit="1" customWidth="1"/>
    <col min="13064" max="13064" width="5.33203125" style="270" bestFit="1" customWidth="1"/>
    <col min="13065" max="13065" width="6.5546875" style="270" bestFit="1" customWidth="1"/>
    <col min="13066" max="13066" width="4.88671875" style="270" bestFit="1" customWidth="1"/>
    <col min="13067" max="13067" width="6.5546875" style="270" bestFit="1" customWidth="1"/>
    <col min="13068" max="13068" width="9.33203125" style="270" customWidth="1"/>
    <col min="13069" max="13069" width="7.33203125" style="270" customWidth="1"/>
    <col min="13070" max="13070" width="9.44140625" style="270" bestFit="1" customWidth="1"/>
    <col min="13071" max="13071" width="7.109375" style="270" bestFit="1" customWidth="1"/>
    <col min="13072" max="13072" width="11.33203125" style="270" bestFit="1" customWidth="1"/>
    <col min="13073" max="13073" width="7.6640625" style="270" bestFit="1" customWidth="1"/>
    <col min="13074" max="13074" width="10" style="270" bestFit="1" customWidth="1"/>
    <col min="13075" max="13075" width="8.88671875" style="270" customWidth="1"/>
    <col min="13076" max="13076" width="8.5546875" style="270" customWidth="1"/>
    <col min="13077" max="13077" width="6.6640625" style="270" customWidth="1"/>
    <col min="13078" max="13078" width="9.109375" style="270" bestFit="1" customWidth="1"/>
    <col min="13079" max="13079" width="8.5546875" style="270" bestFit="1" customWidth="1"/>
    <col min="13080" max="13080" width="8.109375" style="270" bestFit="1" customWidth="1"/>
    <col min="13081" max="13081" width="8.44140625" style="270" customWidth="1"/>
    <col min="13082" max="13082" width="7.33203125" style="270" customWidth="1"/>
    <col min="13083" max="13083" width="6" style="270" customWidth="1"/>
    <col min="13084" max="13084" width="6.88671875" style="270" customWidth="1"/>
    <col min="13085" max="13085" width="7.5546875" style="270" bestFit="1" customWidth="1"/>
    <col min="13086" max="13086" width="7.44140625" style="270" customWidth="1"/>
    <col min="13087" max="13087" width="8" style="270" customWidth="1"/>
    <col min="13088" max="13088" width="22.44140625" style="270" customWidth="1"/>
    <col min="13089" max="13089" width="26" style="270" bestFit="1" customWidth="1"/>
    <col min="13090" max="13090" width="11.6640625" style="270" bestFit="1" customWidth="1"/>
    <col min="13091" max="13091" width="3.33203125" style="270" bestFit="1" customWidth="1"/>
    <col min="13092" max="13092" width="4.6640625" style="270" bestFit="1" customWidth="1"/>
    <col min="13093" max="13093" width="16.109375" style="270" bestFit="1" customWidth="1"/>
    <col min="13094" max="13094" width="3.33203125" style="270" bestFit="1" customWidth="1"/>
    <col min="13095" max="13095" width="5.88671875" style="270" bestFit="1" customWidth="1"/>
    <col min="13096" max="13097" width="11.44140625" style="270"/>
    <col min="13098" max="13098" width="19" style="270" customWidth="1"/>
    <col min="13099" max="13311" width="11.44140625" style="270"/>
    <col min="13312" max="13313" width="2.6640625" style="270" customWidth="1"/>
    <col min="13314" max="13314" width="4.88671875" style="270" bestFit="1" customWidth="1"/>
    <col min="13315" max="13316" width="2.6640625" style="270" customWidth="1"/>
    <col min="13317" max="13317" width="4.88671875" style="270" bestFit="1" customWidth="1"/>
    <col min="13318" max="13318" width="7.44140625" style="270" bestFit="1" customWidth="1"/>
    <col min="13319" max="13319" width="7.88671875" style="270" bestFit="1" customWidth="1"/>
    <col min="13320" max="13320" width="5.33203125" style="270" bestFit="1" customWidth="1"/>
    <col min="13321" max="13321" width="6.5546875" style="270" bestFit="1" customWidth="1"/>
    <col min="13322" max="13322" width="4.88671875" style="270" bestFit="1" customWidth="1"/>
    <col min="13323" max="13323" width="6.5546875" style="270" bestFit="1" customWidth="1"/>
    <col min="13324" max="13324" width="9.33203125" style="270" customWidth="1"/>
    <col min="13325" max="13325" width="7.33203125" style="270" customWidth="1"/>
    <col min="13326" max="13326" width="9.44140625" style="270" bestFit="1" customWidth="1"/>
    <col min="13327" max="13327" width="7.109375" style="270" bestFit="1" customWidth="1"/>
    <col min="13328" max="13328" width="11.33203125" style="270" bestFit="1" customWidth="1"/>
    <col min="13329" max="13329" width="7.6640625" style="270" bestFit="1" customWidth="1"/>
    <col min="13330" max="13330" width="10" style="270" bestFit="1" customWidth="1"/>
    <col min="13331" max="13331" width="8.88671875" style="270" customWidth="1"/>
    <col min="13332" max="13332" width="8.5546875" style="270" customWidth="1"/>
    <col min="13333" max="13333" width="6.6640625" style="270" customWidth="1"/>
    <col min="13334" max="13334" width="9.109375" style="270" bestFit="1" customWidth="1"/>
    <col min="13335" max="13335" width="8.5546875" style="270" bestFit="1" customWidth="1"/>
    <col min="13336" max="13336" width="8.109375" style="270" bestFit="1" customWidth="1"/>
    <col min="13337" max="13337" width="8.44140625" style="270" customWidth="1"/>
    <col min="13338" max="13338" width="7.33203125" style="270" customWidth="1"/>
    <col min="13339" max="13339" width="6" style="270" customWidth="1"/>
    <col min="13340" max="13340" width="6.88671875" style="270" customWidth="1"/>
    <col min="13341" max="13341" width="7.5546875" style="270" bestFit="1" customWidth="1"/>
    <col min="13342" max="13342" width="7.44140625" style="270" customWidth="1"/>
    <col min="13343" max="13343" width="8" style="270" customWidth="1"/>
    <col min="13344" max="13344" width="22.44140625" style="270" customWidth="1"/>
    <col min="13345" max="13345" width="26" style="270" bestFit="1" customWidth="1"/>
    <col min="13346" max="13346" width="11.6640625" style="270" bestFit="1" customWidth="1"/>
    <col min="13347" max="13347" width="3.33203125" style="270" bestFit="1" customWidth="1"/>
    <col min="13348" max="13348" width="4.6640625" style="270" bestFit="1" customWidth="1"/>
    <col min="13349" max="13349" width="16.109375" style="270" bestFit="1" customWidth="1"/>
    <col min="13350" max="13350" width="3.33203125" style="270" bestFit="1" customWidth="1"/>
    <col min="13351" max="13351" width="5.88671875" style="270" bestFit="1" customWidth="1"/>
    <col min="13352" max="13353" width="11.44140625" style="270"/>
    <col min="13354" max="13354" width="19" style="270" customWidth="1"/>
    <col min="13355" max="13567" width="11.44140625" style="270"/>
    <col min="13568" max="13569" width="2.6640625" style="270" customWidth="1"/>
    <col min="13570" max="13570" width="4.88671875" style="270" bestFit="1" customWidth="1"/>
    <col min="13571" max="13572" width="2.6640625" style="270" customWidth="1"/>
    <col min="13573" max="13573" width="4.88671875" style="270" bestFit="1" customWidth="1"/>
    <col min="13574" max="13574" width="7.44140625" style="270" bestFit="1" customWidth="1"/>
    <col min="13575" max="13575" width="7.88671875" style="270" bestFit="1" customWidth="1"/>
    <col min="13576" max="13576" width="5.33203125" style="270" bestFit="1" customWidth="1"/>
    <col min="13577" max="13577" width="6.5546875" style="270" bestFit="1" customWidth="1"/>
    <col min="13578" max="13578" width="4.88671875" style="270" bestFit="1" customWidth="1"/>
    <col min="13579" max="13579" width="6.5546875" style="270" bestFit="1" customWidth="1"/>
    <col min="13580" max="13580" width="9.33203125" style="270" customWidth="1"/>
    <col min="13581" max="13581" width="7.33203125" style="270" customWidth="1"/>
    <col min="13582" max="13582" width="9.44140625" style="270" bestFit="1" customWidth="1"/>
    <col min="13583" max="13583" width="7.109375" style="270" bestFit="1" customWidth="1"/>
    <col min="13584" max="13584" width="11.33203125" style="270" bestFit="1" customWidth="1"/>
    <col min="13585" max="13585" width="7.6640625" style="270" bestFit="1" customWidth="1"/>
    <col min="13586" max="13586" width="10" style="270" bestFit="1" customWidth="1"/>
    <col min="13587" max="13587" width="8.88671875" style="270" customWidth="1"/>
    <col min="13588" max="13588" width="8.5546875" style="270" customWidth="1"/>
    <col min="13589" max="13589" width="6.6640625" style="270" customWidth="1"/>
    <col min="13590" max="13590" width="9.109375" style="270" bestFit="1" customWidth="1"/>
    <col min="13591" max="13591" width="8.5546875" style="270" bestFit="1" customWidth="1"/>
    <col min="13592" max="13592" width="8.109375" style="270" bestFit="1" customWidth="1"/>
    <col min="13593" max="13593" width="8.44140625" style="270" customWidth="1"/>
    <col min="13594" max="13594" width="7.33203125" style="270" customWidth="1"/>
    <col min="13595" max="13595" width="6" style="270" customWidth="1"/>
    <col min="13596" max="13596" width="6.88671875" style="270" customWidth="1"/>
    <col min="13597" max="13597" width="7.5546875" style="270" bestFit="1" customWidth="1"/>
    <col min="13598" max="13598" width="7.44140625" style="270" customWidth="1"/>
    <col min="13599" max="13599" width="8" style="270" customWidth="1"/>
    <col min="13600" max="13600" width="22.44140625" style="270" customWidth="1"/>
    <col min="13601" max="13601" width="26" style="270" bestFit="1" customWidth="1"/>
    <col min="13602" max="13602" width="11.6640625" style="270" bestFit="1" customWidth="1"/>
    <col min="13603" max="13603" width="3.33203125" style="270" bestFit="1" customWidth="1"/>
    <col min="13604" max="13604" width="4.6640625" style="270" bestFit="1" customWidth="1"/>
    <col min="13605" max="13605" width="16.109375" style="270" bestFit="1" customWidth="1"/>
    <col min="13606" max="13606" width="3.33203125" style="270" bestFit="1" customWidth="1"/>
    <col min="13607" max="13607" width="5.88671875" style="270" bestFit="1" customWidth="1"/>
    <col min="13608" max="13609" width="11.44140625" style="270"/>
    <col min="13610" max="13610" width="19" style="270" customWidth="1"/>
    <col min="13611" max="13823" width="11.44140625" style="270"/>
    <col min="13824" max="13825" width="2.6640625" style="270" customWidth="1"/>
    <col min="13826" max="13826" width="4.88671875" style="270" bestFit="1" customWidth="1"/>
    <col min="13827" max="13828" width="2.6640625" style="270" customWidth="1"/>
    <col min="13829" max="13829" width="4.88671875" style="270" bestFit="1" customWidth="1"/>
    <col min="13830" max="13830" width="7.44140625" style="270" bestFit="1" customWidth="1"/>
    <col min="13831" max="13831" width="7.88671875" style="270" bestFit="1" customWidth="1"/>
    <col min="13832" max="13832" width="5.33203125" style="270" bestFit="1" customWidth="1"/>
    <col min="13833" max="13833" width="6.5546875" style="270" bestFit="1" customWidth="1"/>
    <col min="13834" max="13834" width="4.88671875" style="270" bestFit="1" customWidth="1"/>
    <col min="13835" max="13835" width="6.5546875" style="270" bestFit="1" customWidth="1"/>
    <col min="13836" max="13836" width="9.33203125" style="270" customWidth="1"/>
    <col min="13837" max="13837" width="7.33203125" style="270" customWidth="1"/>
    <col min="13838" max="13838" width="9.44140625" style="270" bestFit="1" customWidth="1"/>
    <col min="13839" max="13839" width="7.109375" style="270" bestFit="1" customWidth="1"/>
    <col min="13840" max="13840" width="11.33203125" style="270" bestFit="1" customWidth="1"/>
    <col min="13841" max="13841" width="7.6640625" style="270" bestFit="1" customWidth="1"/>
    <col min="13842" max="13842" width="10" style="270" bestFit="1" customWidth="1"/>
    <col min="13843" max="13843" width="8.88671875" style="270" customWidth="1"/>
    <col min="13844" max="13844" width="8.5546875" style="270" customWidth="1"/>
    <col min="13845" max="13845" width="6.6640625" style="270" customWidth="1"/>
    <col min="13846" max="13846" width="9.109375" style="270" bestFit="1" customWidth="1"/>
    <col min="13847" max="13847" width="8.5546875" style="270" bestFit="1" customWidth="1"/>
    <col min="13848" max="13848" width="8.109375" style="270" bestFit="1" customWidth="1"/>
    <col min="13849" max="13849" width="8.44140625" style="270" customWidth="1"/>
    <col min="13850" max="13850" width="7.33203125" style="270" customWidth="1"/>
    <col min="13851" max="13851" width="6" style="270" customWidth="1"/>
    <col min="13852" max="13852" width="6.88671875" style="270" customWidth="1"/>
    <col min="13853" max="13853" width="7.5546875" style="270" bestFit="1" customWidth="1"/>
    <col min="13854" max="13854" width="7.44140625" style="270" customWidth="1"/>
    <col min="13855" max="13855" width="8" style="270" customWidth="1"/>
    <col min="13856" max="13856" width="22.44140625" style="270" customWidth="1"/>
    <col min="13857" max="13857" width="26" style="270" bestFit="1" customWidth="1"/>
    <col min="13858" max="13858" width="11.6640625" style="270" bestFit="1" customWidth="1"/>
    <col min="13859" max="13859" width="3.33203125" style="270" bestFit="1" customWidth="1"/>
    <col min="13860" max="13860" width="4.6640625" style="270" bestFit="1" customWidth="1"/>
    <col min="13861" max="13861" width="16.109375" style="270" bestFit="1" customWidth="1"/>
    <col min="13862" max="13862" width="3.33203125" style="270" bestFit="1" customWidth="1"/>
    <col min="13863" max="13863" width="5.88671875" style="270" bestFit="1" customWidth="1"/>
    <col min="13864" max="13865" width="11.44140625" style="270"/>
    <col min="13866" max="13866" width="19" style="270" customWidth="1"/>
    <col min="13867" max="14079" width="11.44140625" style="270"/>
    <col min="14080" max="14081" width="2.6640625" style="270" customWidth="1"/>
    <col min="14082" max="14082" width="4.88671875" style="270" bestFit="1" customWidth="1"/>
    <col min="14083" max="14084" width="2.6640625" style="270" customWidth="1"/>
    <col min="14085" max="14085" width="4.88671875" style="270" bestFit="1" customWidth="1"/>
    <col min="14086" max="14086" width="7.44140625" style="270" bestFit="1" customWidth="1"/>
    <col min="14087" max="14087" width="7.88671875" style="270" bestFit="1" customWidth="1"/>
    <col min="14088" max="14088" width="5.33203125" style="270" bestFit="1" customWidth="1"/>
    <col min="14089" max="14089" width="6.5546875" style="270" bestFit="1" customWidth="1"/>
    <col min="14090" max="14090" width="4.88671875" style="270" bestFit="1" customWidth="1"/>
    <col min="14091" max="14091" width="6.5546875" style="270" bestFit="1" customWidth="1"/>
    <col min="14092" max="14092" width="9.33203125" style="270" customWidth="1"/>
    <col min="14093" max="14093" width="7.33203125" style="270" customWidth="1"/>
    <col min="14094" max="14094" width="9.44140625" style="270" bestFit="1" customWidth="1"/>
    <col min="14095" max="14095" width="7.109375" style="270" bestFit="1" customWidth="1"/>
    <col min="14096" max="14096" width="11.33203125" style="270" bestFit="1" customWidth="1"/>
    <col min="14097" max="14097" width="7.6640625" style="270" bestFit="1" customWidth="1"/>
    <col min="14098" max="14098" width="10" style="270" bestFit="1" customWidth="1"/>
    <col min="14099" max="14099" width="8.88671875" style="270" customWidth="1"/>
    <col min="14100" max="14100" width="8.5546875" style="270" customWidth="1"/>
    <col min="14101" max="14101" width="6.6640625" style="270" customWidth="1"/>
    <col min="14102" max="14102" width="9.109375" style="270" bestFit="1" customWidth="1"/>
    <col min="14103" max="14103" width="8.5546875" style="270" bestFit="1" customWidth="1"/>
    <col min="14104" max="14104" width="8.109375" style="270" bestFit="1" customWidth="1"/>
    <col min="14105" max="14105" width="8.44140625" style="270" customWidth="1"/>
    <col min="14106" max="14106" width="7.33203125" style="270" customWidth="1"/>
    <col min="14107" max="14107" width="6" style="270" customWidth="1"/>
    <col min="14108" max="14108" width="6.88671875" style="270" customWidth="1"/>
    <col min="14109" max="14109" width="7.5546875" style="270" bestFit="1" customWidth="1"/>
    <col min="14110" max="14110" width="7.44140625" style="270" customWidth="1"/>
    <col min="14111" max="14111" width="8" style="270" customWidth="1"/>
    <col min="14112" max="14112" width="22.44140625" style="270" customWidth="1"/>
    <col min="14113" max="14113" width="26" style="270" bestFit="1" customWidth="1"/>
    <col min="14114" max="14114" width="11.6640625" style="270" bestFit="1" customWidth="1"/>
    <col min="14115" max="14115" width="3.33203125" style="270" bestFit="1" customWidth="1"/>
    <col min="14116" max="14116" width="4.6640625" style="270" bestFit="1" customWidth="1"/>
    <col min="14117" max="14117" width="16.109375" style="270" bestFit="1" customWidth="1"/>
    <col min="14118" max="14118" width="3.33203125" style="270" bestFit="1" customWidth="1"/>
    <col min="14119" max="14119" width="5.88671875" style="270" bestFit="1" customWidth="1"/>
    <col min="14120" max="14121" width="11.44140625" style="270"/>
    <col min="14122" max="14122" width="19" style="270" customWidth="1"/>
    <col min="14123" max="14335" width="11.44140625" style="270"/>
    <col min="14336" max="14337" width="2.6640625" style="270" customWidth="1"/>
    <col min="14338" max="14338" width="4.88671875" style="270" bestFit="1" customWidth="1"/>
    <col min="14339" max="14340" width="2.6640625" style="270" customWidth="1"/>
    <col min="14341" max="14341" width="4.88671875" style="270" bestFit="1" customWidth="1"/>
    <col min="14342" max="14342" width="7.44140625" style="270" bestFit="1" customWidth="1"/>
    <col min="14343" max="14343" width="7.88671875" style="270" bestFit="1" customWidth="1"/>
    <col min="14344" max="14344" width="5.33203125" style="270" bestFit="1" customWidth="1"/>
    <col min="14345" max="14345" width="6.5546875" style="270" bestFit="1" customWidth="1"/>
    <col min="14346" max="14346" width="4.88671875" style="270" bestFit="1" customWidth="1"/>
    <col min="14347" max="14347" width="6.5546875" style="270" bestFit="1" customWidth="1"/>
    <col min="14348" max="14348" width="9.33203125" style="270" customWidth="1"/>
    <col min="14349" max="14349" width="7.33203125" style="270" customWidth="1"/>
    <col min="14350" max="14350" width="9.44140625" style="270" bestFit="1" customWidth="1"/>
    <col min="14351" max="14351" width="7.109375" style="270" bestFit="1" customWidth="1"/>
    <col min="14352" max="14352" width="11.33203125" style="270" bestFit="1" customWidth="1"/>
    <col min="14353" max="14353" width="7.6640625" style="270" bestFit="1" customWidth="1"/>
    <col min="14354" max="14354" width="10" style="270" bestFit="1" customWidth="1"/>
    <col min="14355" max="14355" width="8.88671875" style="270" customWidth="1"/>
    <col min="14356" max="14356" width="8.5546875" style="270" customWidth="1"/>
    <col min="14357" max="14357" width="6.6640625" style="270" customWidth="1"/>
    <col min="14358" max="14358" width="9.109375" style="270" bestFit="1" customWidth="1"/>
    <col min="14359" max="14359" width="8.5546875" style="270" bestFit="1" customWidth="1"/>
    <col min="14360" max="14360" width="8.109375" style="270" bestFit="1" customWidth="1"/>
    <col min="14361" max="14361" width="8.44140625" style="270" customWidth="1"/>
    <col min="14362" max="14362" width="7.33203125" style="270" customWidth="1"/>
    <col min="14363" max="14363" width="6" style="270" customWidth="1"/>
    <col min="14364" max="14364" width="6.88671875" style="270" customWidth="1"/>
    <col min="14365" max="14365" width="7.5546875" style="270" bestFit="1" customWidth="1"/>
    <col min="14366" max="14366" width="7.44140625" style="270" customWidth="1"/>
    <col min="14367" max="14367" width="8" style="270" customWidth="1"/>
    <col min="14368" max="14368" width="22.44140625" style="270" customWidth="1"/>
    <col min="14369" max="14369" width="26" style="270" bestFit="1" customWidth="1"/>
    <col min="14370" max="14370" width="11.6640625" style="270" bestFit="1" customWidth="1"/>
    <col min="14371" max="14371" width="3.33203125" style="270" bestFit="1" customWidth="1"/>
    <col min="14372" max="14372" width="4.6640625" style="270" bestFit="1" customWidth="1"/>
    <col min="14373" max="14373" width="16.109375" style="270" bestFit="1" customWidth="1"/>
    <col min="14374" max="14374" width="3.33203125" style="270" bestFit="1" customWidth="1"/>
    <col min="14375" max="14375" width="5.88671875" style="270" bestFit="1" customWidth="1"/>
    <col min="14376" max="14377" width="11.44140625" style="270"/>
    <col min="14378" max="14378" width="19" style="270" customWidth="1"/>
    <col min="14379" max="14591" width="11.44140625" style="270"/>
    <col min="14592" max="14593" width="2.6640625" style="270" customWidth="1"/>
    <col min="14594" max="14594" width="4.88671875" style="270" bestFit="1" customWidth="1"/>
    <col min="14595" max="14596" width="2.6640625" style="270" customWidth="1"/>
    <col min="14597" max="14597" width="4.88671875" style="270" bestFit="1" customWidth="1"/>
    <col min="14598" max="14598" width="7.44140625" style="270" bestFit="1" customWidth="1"/>
    <col min="14599" max="14599" width="7.88671875" style="270" bestFit="1" customWidth="1"/>
    <col min="14600" max="14600" width="5.33203125" style="270" bestFit="1" customWidth="1"/>
    <col min="14601" max="14601" width="6.5546875" style="270" bestFit="1" customWidth="1"/>
    <col min="14602" max="14602" width="4.88671875" style="270" bestFit="1" customWidth="1"/>
    <col min="14603" max="14603" width="6.5546875" style="270" bestFit="1" customWidth="1"/>
    <col min="14604" max="14604" width="9.33203125" style="270" customWidth="1"/>
    <col min="14605" max="14605" width="7.33203125" style="270" customWidth="1"/>
    <col min="14606" max="14606" width="9.44140625" style="270" bestFit="1" customWidth="1"/>
    <col min="14607" max="14607" width="7.109375" style="270" bestFit="1" customWidth="1"/>
    <col min="14608" max="14608" width="11.33203125" style="270" bestFit="1" customWidth="1"/>
    <col min="14609" max="14609" width="7.6640625" style="270" bestFit="1" customWidth="1"/>
    <col min="14610" max="14610" width="10" style="270" bestFit="1" customWidth="1"/>
    <col min="14611" max="14611" width="8.88671875" style="270" customWidth="1"/>
    <col min="14612" max="14612" width="8.5546875" style="270" customWidth="1"/>
    <col min="14613" max="14613" width="6.6640625" style="270" customWidth="1"/>
    <col min="14614" max="14614" width="9.109375" style="270" bestFit="1" customWidth="1"/>
    <col min="14615" max="14615" width="8.5546875" style="270" bestFit="1" customWidth="1"/>
    <col min="14616" max="14616" width="8.109375" style="270" bestFit="1" customWidth="1"/>
    <col min="14617" max="14617" width="8.44140625" style="270" customWidth="1"/>
    <col min="14618" max="14618" width="7.33203125" style="270" customWidth="1"/>
    <col min="14619" max="14619" width="6" style="270" customWidth="1"/>
    <col min="14620" max="14620" width="6.88671875" style="270" customWidth="1"/>
    <col min="14621" max="14621" width="7.5546875" style="270" bestFit="1" customWidth="1"/>
    <col min="14622" max="14622" width="7.44140625" style="270" customWidth="1"/>
    <col min="14623" max="14623" width="8" style="270" customWidth="1"/>
    <col min="14624" max="14624" width="22.44140625" style="270" customWidth="1"/>
    <col min="14625" max="14625" width="26" style="270" bestFit="1" customWidth="1"/>
    <col min="14626" max="14626" width="11.6640625" style="270" bestFit="1" customWidth="1"/>
    <col min="14627" max="14627" width="3.33203125" style="270" bestFit="1" customWidth="1"/>
    <col min="14628" max="14628" width="4.6640625" style="270" bestFit="1" customWidth="1"/>
    <col min="14629" max="14629" width="16.109375" style="270" bestFit="1" customWidth="1"/>
    <col min="14630" max="14630" width="3.33203125" style="270" bestFit="1" customWidth="1"/>
    <col min="14631" max="14631" width="5.88671875" style="270" bestFit="1" customWidth="1"/>
    <col min="14632" max="14633" width="11.44140625" style="270"/>
    <col min="14634" max="14634" width="19" style="270" customWidth="1"/>
    <col min="14635" max="14847" width="11.44140625" style="270"/>
    <col min="14848" max="14849" width="2.6640625" style="270" customWidth="1"/>
    <col min="14850" max="14850" width="4.88671875" style="270" bestFit="1" customWidth="1"/>
    <col min="14851" max="14852" width="2.6640625" style="270" customWidth="1"/>
    <col min="14853" max="14853" width="4.88671875" style="270" bestFit="1" customWidth="1"/>
    <col min="14854" max="14854" width="7.44140625" style="270" bestFit="1" customWidth="1"/>
    <col min="14855" max="14855" width="7.88671875" style="270" bestFit="1" customWidth="1"/>
    <col min="14856" max="14856" width="5.33203125" style="270" bestFit="1" customWidth="1"/>
    <col min="14857" max="14857" width="6.5546875" style="270" bestFit="1" customWidth="1"/>
    <col min="14858" max="14858" width="4.88671875" style="270" bestFit="1" customWidth="1"/>
    <col min="14859" max="14859" width="6.5546875" style="270" bestFit="1" customWidth="1"/>
    <col min="14860" max="14860" width="9.33203125" style="270" customWidth="1"/>
    <col min="14861" max="14861" width="7.33203125" style="270" customWidth="1"/>
    <col min="14862" max="14862" width="9.44140625" style="270" bestFit="1" customWidth="1"/>
    <col min="14863" max="14863" width="7.109375" style="270" bestFit="1" customWidth="1"/>
    <col min="14864" max="14864" width="11.33203125" style="270" bestFit="1" customWidth="1"/>
    <col min="14865" max="14865" width="7.6640625" style="270" bestFit="1" customWidth="1"/>
    <col min="14866" max="14866" width="10" style="270" bestFit="1" customWidth="1"/>
    <col min="14867" max="14867" width="8.88671875" style="270" customWidth="1"/>
    <col min="14868" max="14868" width="8.5546875" style="270" customWidth="1"/>
    <col min="14869" max="14869" width="6.6640625" style="270" customWidth="1"/>
    <col min="14870" max="14870" width="9.109375" style="270" bestFit="1" customWidth="1"/>
    <col min="14871" max="14871" width="8.5546875" style="270" bestFit="1" customWidth="1"/>
    <col min="14872" max="14872" width="8.109375" style="270" bestFit="1" customWidth="1"/>
    <col min="14873" max="14873" width="8.44140625" style="270" customWidth="1"/>
    <col min="14874" max="14874" width="7.33203125" style="270" customWidth="1"/>
    <col min="14875" max="14875" width="6" style="270" customWidth="1"/>
    <col min="14876" max="14876" width="6.88671875" style="270" customWidth="1"/>
    <col min="14877" max="14877" width="7.5546875" style="270" bestFit="1" customWidth="1"/>
    <col min="14878" max="14878" width="7.44140625" style="270" customWidth="1"/>
    <col min="14879" max="14879" width="8" style="270" customWidth="1"/>
    <col min="14880" max="14880" width="22.44140625" style="270" customWidth="1"/>
    <col min="14881" max="14881" width="26" style="270" bestFit="1" customWidth="1"/>
    <col min="14882" max="14882" width="11.6640625" style="270" bestFit="1" customWidth="1"/>
    <col min="14883" max="14883" width="3.33203125" style="270" bestFit="1" customWidth="1"/>
    <col min="14884" max="14884" width="4.6640625" style="270" bestFit="1" customWidth="1"/>
    <col min="14885" max="14885" width="16.109375" style="270" bestFit="1" customWidth="1"/>
    <col min="14886" max="14886" width="3.33203125" style="270" bestFit="1" customWidth="1"/>
    <col min="14887" max="14887" width="5.88671875" style="270" bestFit="1" customWidth="1"/>
    <col min="14888" max="14889" width="11.44140625" style="270"/>
    <col min="14890" max="14890" width="19" style="270" customWidth="1"/>
    <col min="14891" max="15103" width="11.44140625" style="270"/>
    <col min="15104" max="15105" width="2.6640625" style="270" customWidth="1"/>
    <col min="15106" max="15106" width="4.88671875" style="270" bestFit="1" customWidth="1"/>
    <col min="15107" max="15108" width="2.6640625" style="270" customWidth="1"/>
    <col min="15109" max="15109" width="4.88671875" style="270" bestFit="1" customWidth="1"/>
    <col min="15110" max="15110" width="7.44140625" style="270" bestFit="1" customWidth="1"/>
    <col min="15111" max="15111" width="7.88671875" style="270" bestFit="1" customWidth="1"/>
    <col min="15112" max="15112" width="5.33203125" style="270" bestFit="1" customWidth="1"/>
    <col min="15113" max="15113" width="6.5546875" style="270" bestFit="1" customWidth="1"/>
    <col min="15114" max="15114" width="4.88671875" style="270" bestFit="1" customWidth="1"/>
    <col min="15115" max="15115" width="6.5546875" style="270" bestFit="1" customWidth="1"/>
    <col min="15116" max="15116" width="9.33203125" style="270" customWidth="1"/>
    <col min="15117" max="15117" width="7.33203125" style="270" customWidth="1"/>
    <col min="15118" max="15118" width="9.44140625" style="270" bestFit="1" customWidth="1"/>
    <col min="15119" max="15119" width="7.109375" style="270" bestFit="1" customWidth="1"/>
    <col min="15120" max="15120" width="11.33203125" style="270" bestFit="1" customWidth="1"/>
    <col min="15121" max="15121" width="7.6640625" style="270" bestFit="1" customWidth="1"/>
    <col min="15122" max="15122" width="10" style="270" bestFit="1" customWidth="1"/>
    <col min="15123" max="15123" width="8.88671875" style="270" customWidth="1"/>
    <col min="15124" max="15124" width="8.5546875" style="270" customWidth="1"/>
    <col min="15125" max="15125" width="6.6640625" style="270" customWidth="1"/>
    <col min="15126" max="15126" width="9.109375" style="270" bestFit="1" customWidth="1"/>
    <col min="15127" max="15127" width="8.5546875" style="270" bestFit="1" customWidth="1"/>
    <col min="15128" max="15128" width="8.109375" style="270" bestFit="1" customWidth="1"/>
    <col min="15129" max="15129" width="8.44140625" style="270" customWidth="1"/>
    <col min="15130" max="15130" width="7.33203125" style="270" customWidth="1"/>
    <col min="15131" max="15131" width="6" style="270" customWidth="1"/>
    <col min="15132" max="15132" width="6.88671875" style="270" customWidth="1"/>
    <col min="15133" max="15133" width="7.5546875" style="270" bestFit="1" customWidth="1"/>
    <col min="15134" max="15134" width="7.44140625" style="270" customWidth="1"/>
    <col min="15135" max="15135" width="8" style="270" customWidth="1"/>
    <col min="15136" max="15136" width="22.44140625" style="270" customWidth="1"/>
    <col min="15137" max="15137" width="26" style="270" bestFit="1" customWidth="1"/>
    <col min="15138" max="15138" width="11.6640625" style="270" bestFit="1" customWidth="1"/>
    <col min="15139" max="15139" width="3.33203125" style="270" bestFit="1" customWidth="1"/>
    <col min="15140" max="15140" width="4.6640625" style="270" bestFit="1" customWidth="1"/>
    <col min="15141" max="15141" width="16.109375" style="270" bestFit="1" customWidth="1"/>
    <col min="15142" max="15142" width="3.33203125" style="270" bestFit="1" customWidth="1"/>
    <col min="15143" max="15143" width="5.88671875" style="270" bestFit="1" customWidth="1"/>
    <col min="15144" max="15145" width="11.44140625" style="270"/>
    <col min="15146" max="15146" width="19" style="270" customWidth="1"/>
    <col min="15147" max="15359" width="11.44140625" style="270"/>
    <col min="15360" max="15361" width="2.6640625" style="270" customWidth="1"/>
    <col min="15362" max="15362" width="4.88671875" style="270" bestFit="1" customWidth="1"/>
    <col min="15363" max="15364" width="2.6640625" style="270" customWidth="1"/>
    <col min="15365" max="15365" width="4.88671875" style="270" bestFit="1" customWidth="1"/>
    <col min="15366" max="15366" width="7.44140625" style="270" bestFit="1" customWidth="1"/>
    <col min="15367" max="15367" width="7.88671875" style="270" bestFit="1" customWidth="1"/>
    <col min="15368" max="15368" width="5.33203125" style="270" bestFit="1" customWidth="1"/>
    <col min="15369" max="15369" width="6.5546875" style="270" bestFit="1" customWidth="1"/>
    <col min="15370" max="15370" width="4.88671875" style="270" bestFit="1" customWidth="1"/>
    <col min="15371" max="15371" width="6.5546875" style="270" bestFit="1" customWidth="1"/>
    <col min="15372" max="15372" width="9.33203125" style="270" customWidth="1"/>
    <col min="15373" max="15373" width="7.33203125" style="270" customWidth="1"/>
    <col min="15374" max="15374" width="9.44140625" style="270" bestFit="1" customWidth="1"/>
    <col min="15375" max="15375" width="7.109375" style="270" bestFit="1" customWidth="1"/>
    <col min="15376" max="15376" width="11.33203125" style="270" bestFit="1" customWidth="1"/>
    <col min="15377" max="15377" width="7.6640625" style="270" bestFit="1" customWidth="1"/>
    <col min="15378" max="15378" width="10" style="270" bestFit="1" customWidth="1"/>
    <col min="15379" max="15379" width="8.88671875" style="270" customWidth="1"/>
    <col min="15380" max="15380" width="8.5546875" style="270" customWidth="1"/>
    <col min="15381" max="15381" width="6.6640625" style="270" customWidth="1"/>
    <col min="15382" max="15382" width="9.109375" style="270" bestFit="1" customWidth="1"/>
    <col min="15383" max="15383" width="8.5546875" style="270" bestFit="1" customWidth="1"/>
    <col min="15384" max="15384" width="8.109375" style="270" bestFit="1" customWidth="1"/>
    <col min="15385" max="15385" width="8.44140625" style="270" customWidth="1"/>
    <col min="15386" max="15386" width="7.33203125" style="270" customWidth="1"/>
    <col min="15387" max="15387" width="6" style="270" customWidth="1"/>
    <col min="15388" max="15388" width="6.88671875" style="270" customWidth="1"/>
    <col min="15389" max="15389" width="7.5546875" style="270" bestFit="1" customWidth="1"/>
    <col min="15390" max="15390" width="7.44140625" style="270" customWidth="1"/>
    <col min="15391" max="15391" width="8" style="270" customWidth="1"/>
    <col min="15392" max="15392" width="22.44140625" style="270" customWidth="1"/>
    <col min="15393" max="15393" width="26" style="270" bestFit="1" customWidth="1"/>
    <col min="15394" max="15394" width="11.6640625" style="270" bestFit="1" customWidth="1"/>
    <col min="15395" max="15395" width="3.33203125" style="270" bestFit="1" customWidth="1"/>
    <col min="15396" max="15396" width="4.6640625" style="270" bestFit="1" customWidth="1"/>
    <col min="15397" max="15397" width="16.109375" style="270" bestFit="1" customWidth="1"/>
    <col min="15398" max="15398" width="3.33203125" style="270" bestFit="1" customWidth="1"/>
    <col min="15399" max="15399" width="5.88671875" style="270" bestFit="1" customWidth="1"/>
    <col min="15400" max="15401" width="11.44140625" style="270"/>
    <col min="15402" max="15402" width="19" style="270" customWidth="1"/>
    <col min="15403" max="15615" width="11.44140625" style="270"/>
    <col min="15616" max="15617" width="2.6640625" style="270" customWidth="1"/>
    <col min="15618" max="15618" width="4.88671875" style="270" bestFit="1" customWidth="1"/>
    <col min="15619" max="15620" width="2.6640625" style="270" customWidth="1"/>
    <col min="15621" max="15621" width="4.88671875" style="270" bestFit="1" customWidth="1"/>
    <col min="15622" max="15622" width="7.44140625" style="270" bestFit="1" customWidth="1"/>
    <col min="15623" max="15623" width="7.88671875" style="270" bestFit="1" customWidth="1"/>
    <col min="15624" max="15624" width="5.33203125" style="270" bestFit="1" customWidth="1"/>
    <col min="15625" max="15625" width="6.5546875" style="270" bestFit="1" customWidth="1"/>
    <col min="15626" max="15626" width="4.88671875" style="270" bestFit="1" customWidth="1"/>
    <col min="15627" max="15627" width="6.5546875" style="270" bestFit="1" customWidth="1"/>
    <col min="15628" max="15628" width="9.33203125" style="270" customWidth="1"/>
    <col min="15629" max="15629" width="7.33203125" style="270" customWidth="1"/>
    <col min="15630" max="15630" width="9.44140625" style="270" bestFit="1" customWidth="1"/>
    <col min="15631" max="15631" width="7.109375" style="270" bestFit="1" customWidth="1"/>
    <col min="15632" max="15632" width="11.33203125" style="270" bestFit="1" customWidth="1"/>
    <col min="15633" max="15633" width="7.6640625" style="270" bestFit="1" customWidth="1"/>
    <col min="15634" max="15634" width="10" style="270" bestFit="1" customWidth="1"/>
    <col min="15635" max="15635" width="8.88671875" style="270" customWidth="1"/>
    <col min="15636" max="15636" width="8.5546875" style="270" customWidth="1"/>
    <col min="15637" max="15637" width="6.6640625" style="270" customWidth="1"/>
    <col min="15638" max="15638" width="9.109375" style="270" bestFit="1" customWidth="1"/>
    <col min="15639" max="15639" width="8.5546875" style="270" bestFit="1" customWidth="1"/>
    <col min="15640" max="15640" width="8.109375" style="270" bestFit="1" customWidth="1"/>
    <col min="15641" max="15641" width="8.44140625" style="270" customWidth="1"/>
    <col min="15642" max="15642" width="7.33203125" style="270" customWidth="1"/>
    <col min="15643" max="15643" width="6" style="270" customWidth="1"/>
    <col min="15644" max="15644" width="6.88671875" style="270" customWidth="1"/>
    <col min="15645" max="15645" width="7.5546875" style="270" bestFit="1" customWidth="1"/>
    <col min="15646" max="15646" width="7.44140625" style="270" customWidth="1"/>
    <col min="15647" max="15647" width="8" style="270" customWidth="1"/>
    <col min="15648" max="15648" width="22.44140625" style="270" customWidth="1"/>
    <col min="15649" max="15649" width="26" style="270" bestFit="1" customWidth="1"/>
    <col min="15650" max="15650" width="11.6640625" style="270" bestFit="1" customWidth="1"/>
    <col min="15651" max="15651" width="3.33203125" style="270" bestFit="1" customWidth="1"/>
    <col min="15652" max="15652" width="4.6640625" style="270" bestFit="1" customWidth="1"/>
    <col min="15653" max="15653" width="16.109375" style="270" bestFit="1" customWidth="1"/>
    <col min="15654" max="15654" width="3.33203125" style="270" bestFit="1" customWidth="1"/>
    <col min="15655" max="15655" width="5.88671875" style="270" bestFit="1" customWidth="1"/>
    <col min="15656" max="15657" width="11.44140625" style="270"/>
    <col min="15658" max="15658" width="19" style="270" customWidth="1"/>
    <col min="15659" max="15871" width="11.44140625" style="270"/>
    <col min="15872" max="15873" width="2.6640625" style="270" customWidth="1"/>
    <col min="15874" max="15874" width="4.88671875" style="270" bestFit="1" customWidth="1"/>
    <col min="15875" max="15876" width="2.6640625" style="270" customWidth="1"/>
    <col min="15877" max="15877" width="4.88671875" style="270" bestFit="1" customWidth="1"/>
    <col min="15878" max="15878" width="7.44140625" style="270" bestFit="1" customWidth="1"/>
    <col min="15879" max="15879" width="7.88671875" style="270" bestFit="1" customWidth="1"/>
    <col min="15880" max="15880" width="5.33203125" style="270" bestFit="1" customWidth="1"/>
    <col min="15881" max="15881" width="6.5546875" style="270" bestFit="1" customWidth="1"/>
    <col min="15882" max="15882" width="4.88671875" style="270" bestFit="1" customWidth="1"/>
    <col min="15883" max="15883" width="6.5546875" style="270" bestFit="1" customWidth="1"/>
    <col min="15884" max="15884" width="9.33203125" style="270" customWidth="1"/>
    <col min="15885" max="15885" width="7.33203125" style="270" customWidth="1"/>
    <col min="15886" max="15886" width="9.44140625" style="270" bestFit="1" customWidth="1"/>
    <col min="15887" max="15887" width="7.109375" style="270" bestFit="1" customWidth="1"/>
    <col min="15888" max="15888" width="11.33203125" style="270" bestFit="1" customWidth="1"/>
    <col min="15889" max="15889" width="7.6640625" style="270" bestFit="1" customWidth="1"/>
    <col min="15890" max="15890" width="10" style="270" bestFit="1" customWidth="1"/>
    <col min="15891" max="15891" width="8.88671875" style="270" customWidth="1"/>
    <col min="15892" max="15892" width="8.5546875" style="270" customWidth="1"/>
    <col min="15893" max="15893" width="6.6640625" style="270" customWidth="1"/>
    <col min="15894" max="15894" width="9.109375" style="270" bestFit="1" customWidth="1"/>
    <col min="15895" max="15895" width="8.5546875" style="270" bestFit="1" customWidth="1"/>
    <col min="15896" max="15896" width="8.109375" style="270" bestFit="1" customWidth="1"/>
    <col min="15897" max="15897" width="8.44140625" style="270" customWidth="1"/>
    <col min="15898" max="15898" width="7.33203125" style="270" customWidth="1"/>
    <col min="15899" max="15899" width="6" style="270" customWidth="1"/>
    <col min="15900" max="15900" width="6.88671875" style="270" customWidth="1"/>
    <col min="15901" max="15901" width="7.5546875" style="270" bestFit="1" customWidth="1"/>
    <col min="15902" max="15902" width="7.44140625" style="270" customWidth="1"/>
    <col min="15903" max="15903" width="8" style="270" customWidth="1"/>
    <col min="15904" max="15904" width="22.44140625" style="270" customWidth="1"/>
    <col min="15905" max="15905" width="26" style="270" bestFit="1" customWidth="1"/>
    <col min="15906" max="15906" width="11.6640625" style="270" bestFit="1" customWidth="1"/>
    <col min="15907" max="15907" width="3.33203125" style="270" bestFit="1" customWidth="1"/>
    <col min="15908" max="15908" width="4.6640625" style="270" bestFit="1" customWidth="1"/>
    <col min="15909" max="15909" width="16.109375" style="270" bestFit="1" customWidth="1"/>
    <col min="15910" max="15910" width="3.33203125" style="270" bestFit="1" customWidth="1"/>
    <col min="15911" max="15911" width="5.88671875" style="270" bestFit="1" customWidth="1"/>
    <col min="15912" max="15913" width="11.44140625" style="270"/>
    <col min="15914" max="15914" width="19" style="270" customWidth="1"/>
    <col min="15915" max="16127" width="11.44140625" style="270"/>
    <col min="16128" max="16129" width="2.6640625" style="270" customWidth="1"/>
    <col min="16130" max="16130" width="4.88671875" style="270" bestFit="1" customWidth="1"/>
    <col min="16131" max="16132" width="2.6640625" style="270" customWidth="1"/>
    <col min="16133" max="16133" width="4.88671875" style="270" bestFit="1" customWidth="1"/>
    <col min="16134" max="16134" width="7.44140625" style="270" bestFit="1" customWidth="1"/>
    <col min="16135" max="16135" width="7.88671875" style="270" bestFit="1" customWidth="1"/>
    <col min="16136" max="16136" width="5.33203125" style="270" bestFit="1" customWidth="1"/>
    <col min="16137" max="16137" width="6.5546875" style="270" bestFit="1" customWidth="1"/>
    <col min="16138" max="16138" width="4.88671875" style="270" bestFit="1" customWidth="1"/>
    <col min="16139" max="16139" width="6.5546875" style="270" bestFit="1" customWidth="1"/>
    <col min="16140" max="16140" width="9.33203125" style="270" customWidth="1"/>
    <col min="16141" max="16141" width="7.33203125" style="270" customWidth="1"/>
    <col min="16142" max="16142" width="9.44140625" style="270" bestFit="1" customWidth="1"/>
    <col min="16143" max="16143" width="7.109375" style="270" bestFit="1" customWidth="1"/>
    <col min="16144" max="16144" width="11.33203125" style="270" bestFit="1" customWidth="1"/>
    <col min="16145" max="16145" width="7.6640625" style="270" bestFit="1" customWidth="1"/>
    <col min="16146" max="16146" width="10" style="270" bestFit="1" customWidth="1"/>
    <col min="16147" max="16147" width="8.88671875" style="270" customWidth="1"/>
    <col min="16148" max="16148" width="8.5546875" style="270" customWidth="1"/>
    <col min="16149" max="16149" width="6.6640625" style="270" customWidth="1"/>
    <col min="16150" max="16150" width="9.109375" style="270" bestFit="1" customWidth="1"/>
    <col min="16151" max="16151" width="8.5546875" style="270" bestFit="1" customWidth="1"/>
    <col min="16152" max="16152" width="8.109375" style="270" bestFit="1" customWidth="1"/>
    <col min="16153" max="16153" width="8.44140625" style="270" customWidth="1"/>
    <col min="16154" max="16154" width="7.33203125" style="270" customWidth="1"/>
    <col min="16155" max="16155" width="6" style="270" customWidth="1"/>
    <col min="16156" max="16156" width="6.88671875" style="270" customWidth="1"/>
    <col min="16157" max="16157" width="7.5546875" style="270" bestFit="1" customWidth="1"/>
    <col min="16158" max="16158" width="7.44140625" style="270" customWidth="1"/>
    <col min="16159" max="16159" width="8" style="270" customWidth="1"/>
    <col min="16160" max="16160" width="22.44140625" style="270" customWidth="1"/>
    <col min="16161" max="16161" width="26" style="270" bestFit="1" customWidth="1"/>
    <col min="16162" max="16162" width="11.6640625" style="270" bestFit="1" customWidth="1"/>
    <col min="16163" max="16163" width="3.33203125" style="270" bestFit="1" customWidth="1"/>
    <col min="16164" max="16164" width="4.6640625" style="270" bestFit="1" customWidth="1"/>
    <col min="16165" max="16165" width="16.109375" style="270" bestFit="1" customWidth="1"/>
    <col min="16166" max="16166" width="3.33203125" style="270" bestFit="1" customWidth="1"/>
    <col min="16167" max="16167" width="5.88671875" style="270" bestFit="1" customWidth="1"/>
    <col min="16168" max="16169" width="11.44140625" style="270"/>
    <col min="16170" max="16170" width="19" style="270" customWidth="1"/>
    <col min="16171" max="16384" width="11.44140625" style="270"/>
  </cols>
  <sheetData>
    <row r="1" spans="1:39" s="269" customFormat="1" ht="36.75" customHeight="1">
      <c r="A1" s="797"/>
      <c r="B1" s="798"/>
      <c r="C1" s="798"/>
      <c r="D1" s="798"/>
      <c r="E1" s="798"/>
      <c r="F1" s="799"/>
      <c r="G1" s="796" t="s">
        <v>519</v>
      </c>
      <c r="H1" s="796"/>
      <c r="I1" s="796"/>
      <c r="J1" s="796"/>
      <c r="K1" s="796"/>
      <c r="L1" s="796"/>
      <c r="M1" s="796"/>
      <c r="N1" s="796"/>
      <c r="O1" s="796"/>
      <c r="P1" s="796"/>
      <c r="Q1" s="796"/>
      <c r="R1" s="796"/>
      <c r="S1" s="796"/>
      <c r="T1" s="796"/>
      <c r="U1" s="796"/>
      <c r="V1" s="796"/>
      <c r="W1" s="796"/>
      <c r="X1" s="796"/>
      <c r="Y1" s="796"/>
      <c r="Z1" s="796"/>
      <c r="AA1" s="796"/>
      <c r="AB1" s="796"/>
      <c r="AC1" s="796"/>
      <c r="AD1" s="796"/>
      <c r="AE1" s="796"/>
    </row>
    <row r="2" spans="1:39">
      <c r="A2" s="800"/>
      <c r="B2" s="801"/>
      <c r="C2" s="801"/>
      <c r="D2" s="801"/>
      <c r="E2" s="801"/>
      <c r="F2" s="802"/>
      <c r="G2" s="808" t="str">
        <f>PAVIM.!G2</f>
        <v>PREFEITURA MUNICIPAL DE MARACAJÁ</v>
      </c>
      <c r="H2" s="808"/>
      <c r="I2" s="808"/>
      <c r="J2" s="808"/>
      <c r="K2" s="808"/>
      <c r="L2" s="808"/>
      <c r="M2" s="808"/>
      <c r="N2" s="808"/>
      <c r="O2" s="808" t="str">
        <f>PAVIM.!I2</f>
        <v>BAIRRO: VILA BEATRIZ</v>
      </c>
      <c r="P2" s="808"/>
      <c r="Q2" s="808"/>
      <c r="R2" s="808"/>
      <c r="S2" s="809" t="str">
        <f>PAVIM.!K2</f>
        <v>MUNICIPIO: MARACAJÁ</v>
      </c>
      <c r="T2" s="808"/>
      <c r="U2" s="808"/>
      <c r="V2" s="808"/>
      <c r="W2" s="808" t="s">
        <v>390</v>
      </c>
      <c r="X2" s="808"/>
      <c r="Y2" s="808"/>
      <c r="Z2" s="808"/>
      <c r="AA2" s="808"/>
      <c r="AB2" s="810" t="str">
        <f ca="1">PAVIM.!M3</f>
        <v>DATA: 15/10/24</v>
      </c>
      <c r="AC2" s="810"/>
      <c r="AD2" s="810"/>
      <c r="AE2" s="810"/>
    </row>
    <row r="3" spans="1:39" ht="29.25" customHeight="1">
      <c r="A3" s="803"/>
      <c r="B3" s="804"/>
      <c r="C3" s="804"/>
      <c r="D3" s="804"/>
      <c r="E3" s="804"/>
      <c r="F3" s="805"/>
      <c r="G3" s="811" t="str">
        <f>PAVIM.!G3</f>
        <v>RUA JOSÉ MARQUES, RUA VEREADOR FLÁVIO ROCHA, RUA 156 e RUA CRICIÚMA</v>
      </c>
      <c r="H3" s="811"/>
      <c r="I3" s="811"/>
      <c r="J3" s="811"/>
      <c r="K3" s="812"/>
      <c r="L3" s="271" t="s">
        <v>391</v>
      </c>
      <c r="M3" s="272">
        <v>5</v>
      </c>
      <c r="N3" s="273" t="s">
        <v>392</v>
      </c>
      <c r="O3" s="274" t="s">
        <v>393</v>
      </c>
      <c r="P3" s="275">
        <v>1.2999999999999999E-2</v>
      </c>
      <c r="Q3" s="276" t="s">
        <v>394</v>
      </c>
      <c r="R3" s="277">
        <v>696.47</v>
      </c>
      <c r="S3" s="271" t="s">
        <v>395</v>
      </c>
      <c r="T3" s="278">
        <v>8.9700000000000006</v>
      </c>
      <c r="U3" s="276" t="s">
        <v>396</v>
      </c>
      <c r="V3" s="279">
        <v>0.19500000000000001</v>
      </c>
      <c r="W3" s="274" t="s">
        <v>397</v>
      </c>
      <c r="X3" s="280">
        <v>0.70099999999999996</v>
      </c>
      <c r="Y3" s="370"/>
      <c r="Z3" s="281"/>
      <c r="AA3" s="806"/>
      <c r="AB3" s="807"/>
      <c r="AC3" s="807"/>
      <c r="AD3" s="807"/>
      <c r="AE3" s="281"/>
    </row>
    <row r="4" spans="1:39">
      <c r="A4" s="794" t="s">
        <v>398</v>
      </c>
      <c r="B4" s="794"/>
      <c r="C4" s="794"/>
      <c r="D4" s="794"/>
      <c r="E4" s="794"/>
      <c r="F4" s="794"/>
      <c r="G4" s="793" t="s">
        <v>399</v>
      </c>
      <c r="H4" s="795" t="s">
        <v>400</v>
      </c>
      <c r="I4" s="795" t="s">
        <v>401</v>
      </c>
      <c r="J4" s="795" t="s">
        <v>402</v>
      </c>
      <c r="K4" s="820" t="s">
        <v>403</v>
      </c>
      <c r="L4" s="794" t="s">
        <v>404</v>
      </c>
      <c r="M4" s="794"/>
      <c r="N4" s="794"/>
      <c r="O4" s="794" t="s">
        <v>405</v>
      </c>
      <c r="P4" s="794"/>
      <c r="Q4" s="793" t="s">
        <v>406</v>
      </c>
      <c r="R4" s="793"/>
      <c r="S4" s="794" t="s">
        <v>407</v>
      </c>
      <c r="T4" s="794"/>
      <c r="U4" s="795" t="s">
        <v>408</v>
      </c>
      <c r="V4" s="793" t="s">
        <v>409</v>
      </c>
      <c r="W4" s="793"/>
      <c r="X4" s="793" t="s">
        <v>410</v>
      </c>
      <c r="Y4" s="793"/>
      <c r="Z4" s="793" t="s">
        <v>411</v>
      </c>
      <c r="AA4" s="793"/>
      <c r="AB4" s="793" t="s">
        <v>412</v>
      </c>
      <c r="AC4" s="793"/>
      <c r="AD4" s="795" t="s">
        <v>323</v>
      </c>
      <c r="AE4" s="795" t="s">
        <v>324</v>
      </c>
      <c r="AF4" s="282"/>
      <c r="AG4" s="283"/>
      <c r="AH4" s="283"/>
      <c r="AK4" s="283"/>
      <c r="AL4" s="284"/>
      <c r="AM4" s="284"/>
    </row>
    <row r="5" spans="1:39" ht="20.399999999999999">
      <c r="A5" s="794" t="s">
        <v>55</v>
      </c>
      <c r="B5" s="794"/>
      <c r="C5" s="794"/>
      <c r="D5" s="794" t="s">
        <v>56</v>
      </c>
      <c r="E5" s="794"/>
      <c r="F5" s="794"/>
      <c r="G5" s="793"/>
      <c r="H5" s="795"/>
      <c r="I5" s="795"/>
      <c r="J5" s="795"/>
      <c r="K5" s="820"/>
      <c r="L5" s="361" t="s">
        <v>413</v>
      </c>
      <c r="M5" s="361" t="s">
        <v>414</v>
      </c>
      <c r="N5" s="361" t="s">
        <v>415</v>
      </c>
      <c r="O5" s="360" t="s">
        <v>325</v>
      </c>
      <c r="P5" s="360" t="s">
        <v>326</v>
      </c>
      <c r="Q5" s="361" t="s">
        <v>416</v>
      </c>
      <c r="R5" s="361" t="s">
        <v>417</v>
      </c>
      <c r="S5" s="361" t="s">
        <v>418</v>
      </c>
      <c r="T5" s="361" t="s">
        <v>419</v>
      </c>
      <c r="U5" s="795"/>
      <c r="V5" s="361" t="s">
        <v>420</v>
      </c>
      <c r="W5" s="361" t="s">
        <v>421</v>
      </c>
      <c r="X5" s="360" t="s">
        <v>325</v>
      </c>
      <c r="Y5" s="360" t="s">
        <v>326</v>
      </c>
      <c r="Z5" s="361" t="s">
        <v>422</v>
      </c>
      <c r="AA5" s="361" t="s">
        <v>423</v>
      </c>
      <c r="AB5" s="361" t="s">
        <v>424</v>
      </c>
      <c r="AC5" s="361" t="s">
        <v>425</v>
      </c>
      <c r="AD5" s="795"/>
      <c r="AE5" s="795"/>
      <c r="AG5" s="283"/>
      <c r="AH5" s="283"/>
      <c r="AI5" s="283"/>
      <c r="AJ5" s="283"/>
    </row>
    <row r="6" spans="1:39">
      <c r="A6" s="285">
        <v>4</v>
      </c>
      <c r="B6" s="285" t="s">
        <v>57</v>
      </c>
      <c r="C6" s="286">
        <v>17</v>
      </c>
      <c r="D6" s="285">
        <v>2</v>
      </c>
      <c r="E6" s="285" t="s">
        <v>57</v>
      </c>
      <c r="F6" s="286">
        <v>19</v>
      </c>
      <c r="G6" s="286">
        <f>-(D6*20+F6)+(A6*20+C6)</f>
        <v>38</v>
      </c>
      <c r="H6" s="286">
        <f>20237+60*G6</f>
        <v>22517</v>
      </c>
      <c r="I6" s="286">
        <v>10</v>
      </c>
      <c r="J6" s="287">
        <f>($R$3*$M$3^$V$3)/(I6+$T$3)^$X$3</f>
        <v>121.13687506584991</v>
      </c>
      <c r="K6" s="288">
        <v>0.6</v>
      </c>
      <c r="L6" s="289">
        <f>K6*J6*(H6/(1000*1000)/3.6)</f>
        <v>0.45460650264295699</v>
      </c>
      <c r="M6" s="288">
        <v>0</v>
      </c>
      <c r="N6" s="288">
        <f>L6-M6</f>
        <v>0.45460650264295699</v>
      </c>
      <c r="O6" s="297">
        <v>14.15</v>
      </c>
      <c r="P6" s="297">
        <v>14.28</v>
      </c>
      <c r="Q6" s="290">
        <f>(O6-P6)/G6</f>
        <v>-3.4210526315789211E-3</v>
      </c>
      <c r="R6" s="291">
        <f>(X6-Y6)/G6</f>
        <v>6.3157894736842165E-3</v>
      </c>
      <c r="S6" s="292">
        <f>1.5*(N6*$P$3/R6^0.5)^(3/8)</f>
        <v>0.56604792021679107</v>
      </c>
      <c r="T6" s="293">
        <v>600</v>
      </c>
      <c r="U6" s="294">
        <f>0.397*((T6/1000)^(2/3)*R6^0.5)/$P$3</f>
        <v>1.7264810290640897</v>
      </c>
      <c r="V6" s="294">
        <v>0.6</v>
      </c>
      <c r="W6" s="294">
        <f>P6-Y6</f>
        <v>0.96999999999999886</v>
      </c>
      <c r="X6" s="300">
        <f>O6-V6</f>
        <v>13.55</v>
      </c>
      <c r="Y6" s="300">
        <v>13.31</v>
      </c>
      <c r="Z6" s="289">
        <f>O6-X6</f>
        <v>0.59999999999999964</v>
      </c>
      <c r="AA6" s="289">
        <f>P6-Y6</f>
        <v>0.96999999999999886</v>
      </c>
      <c r="AB6" s="294">
        <f>G6/(60*U6)</f>
        <v>0.36683480598489854</v>
      </c>
      <c r="AC6" s="295">
        <v>0</v>
      </c>
      <c r="AD6" s="295">
        <f t="shared" ref="AD6:AD7" si="0">(G6*(Z6+AA6)/2*IF(T6=300,0.85,IF(T6=400,1,IF(T6=500,1.15,IF(T6=600,1.35,IF(T6=800,1.65,IF(T6=1000,2,IF(T6=1200,2.3,IF(T6=1500,2.85)))))))))</f>
        <v>40.270499999999963</v>
      </c>
      <c r="AE6" s="295">
        <f t="shared" ref="AE6:AE17" si="1">AD6-(G6)*(PI()*((IF(T6=300,0.46,IF(T6=400,0.56,IF(T6=500,0.66,IF(T6=600,0.76,IF(T6=800,1,IF(T6=1000,1.2,IF(T6=1200,1.4,IF(T6=1500,1.7)))))))))^2/4))</f>
        <v>23.03195279122205</v>
      </c>
      <c r="AG6" s="283"/>
      <c r="AH6" s="283"/>
      <c r="AI6" s="283"/>
      <c r="AJ6" s="283"/>
    </row>
    <row r="7" spans="1:39">
      <c r="A7" s="285">
        <f>D6</f>
        <v>2</v>
      </c>
      <c r="B7" s="285" t="str">
        <f>E6</f>
        <v>+</v>
      </c>
      <c r="C7" s="286">
        <f>F6-1</f>
        <v>18</v>
      </c>
      <c r="D7" s="285">
        <v>0</v>
      </c>
      <c r="E7" s="296" t="s">
        <v>57</v>
      </c>
      <c r="F7" s="286">
        <v>18</v>
      </c>
      <c r="G7" s="286">
        <f t="shared" ref="G7" si="2">-(D7*20+F7)+(A7*20+C7)</f>
        <v>40</v>
      </c>
      <c r="H7" s="286">
        <f>H6+60*G7</f>
        <v>24917</v>
      </c>
      <c r="I7" s="286">
        <v>10</v>
      </c>
      <c r="J7" s="287">
        <f t="shared" ref="J7" si="3">($R$3*$M$3^$V$3)/(I7+$T$3)^$X$3</f>
        <v>121.13687506584991</v>
      </c>
      <c r="K7" s="288">
        <v>0.6</v>
      </c>
      <c r="L7" s="289">
        <f t="shared" ref="L7" si="4">K7*J7*(H7/(1000*1000)/3.6)</f>
        <v>0.50306125266929702</v>
      </c>
      <c r="M7" s="288">
        <v>0</v>
      </c>
      <c r="N7" s="288">
        <f t="shared" ref="N7" si="5">L7-M7</f>
        <v>0.50306125266929702</v>
      </c>
      <c r="O7" s="297">
        <f>P6</f>
        <v>14.28</v>
      </c>
      <c r="P7" s="297">
        <v>14.41</v>
      </c>
      <c r="Q7" s="290">
        <f>(O7-P7)/G7</f>
        <v>-3.2500000000000194E-3</v>
      </c>
      <c r="R7" s="291">
        <f>(X7-Y7)/G7</f>
        <v>6.2500000000000003E-3</v>
      </c>
      <c r="S7" s="292">
        <f t="shared" ref="S7" si="6">1.5*(N7*$P$3/R7^0.5)^(3/8)</f>
        <v>0.58911534934571974</v>
      </c>
      <c r="T7" s="293">
        <v>600</v>
      </c>
      <c r="U7" s="294">
        <f t="shared" ref="U7" si="7">0.397*((T7/1000)^(2/3)*R7^0.5)/$P$3</f>
        <v>1.7174654007105348</v>
      </c>
      <c r="V7" s="294">
        <f>O7-X7</f>
        <v>0.96999999999999886</v>
      </c>
      <c r="W7" s="294">
        <f t="shared" ref="W7:W10" si="8">P7-Y7</f>
        <v>1.3499999999999996</v>
      </c>
      <c r="X7" s="300">
        <f>Y6</f>
        <v>13.31</v>
      </c>
      <c r="Y7" s="300">
        <v>13.06</v>
      </c>
      <c r="Z7" s="289">
        <f t="shared" ref="Z7:AA7" si="9">O7-X7</f>
        <v>0.96999999999999886</v>
      </c>
      <c r="AA7" s="289">
        <f t="shared" si="9"/>
        <v>1.3499999999999996</v>
      </c>
      <c r="AB7" s="294">
        <f t="shared" ref="AB7" si="10">G7/(60*U7)</f>
        <v>0.3881689065706122</v>
      </c>
      <c r="AC7" s="295">
        <v>0</v>
      </c>
      <c r="AD7" s="295">
        <f t="shared" si="0"/>
        <v>62.639999999999965</v>
      </c>
      <c r="AE7" s="295">
        <f t="shared" si="1"/>
        <v>44.494160832865319</v>
      </c>
      <c r="AG7" s="283"/>
      <c r="AH7" s="283"/>
      <c r="AI7" s="283"/>
      <c r="AJ7" s="283"/>
    </row>
    <row r="8" spans="1:39">
      <c r="A8" s="285">
        <v>0</v>
      </c>
      <c r="B8" s="285" t="str">
        <f t="shared" ref="B8:B10" si="11">E7</f>
        <v>+</v>
      </c>
      <c r="C8" s="286">
        <v>18</v>
      </c>
      <c r="D8" s="285">
        <v>0</v>
      </c>
      <c r="E8" s="296" t="s">
        <v>57</v>
      </c>
      <c r="F8" s="286">
        <v>5</v>
      </c>
      <c r="G8" s="286">
        <v>16</v>
      </c>
      <c r="H8" s="286">
        <f>H7+60*(G8+130)</f>
        <v>33677</v>
      </c>
      <c r="I8" s="286">
        <v>10</v>
      </c>
      <c r="J8" s="287">
        <f t="shared" ref="J8:J10" si="12">($R$3*$M$3^$V$3)/(I8+$T$3)^$X$3</f>
        <v>121.13687506584991</v>
      </c>
      <c r="K8" s="288">
        <v>0.6</v>
      </c>
      <c r="L8" s="289">
        <f t="shared" ref="L8:L10" si="13">K8*J8*(H8/(1000*1000)/3.6)</f>
        <v>0.67992109026543779</v>
      </c>
      <c r="M8" s="288">
        <v>0</v>
      </c>
      <c r="N8" s="288">
        <f t="shared" ref="N8:N10" si="14">L8-M8</f>
        <v>0.67992109026543779</v>
      </c>
      <c r="O8" s="297">
        <f t="shared" ref="O8:O17" si="15">P7</f>
        <v>14.41</v>
      </c>
      <c r="P8" s="297">
        <v>14.43</v>
      </c>
      <c r="Q8" s="290">
        <f t="shared" ref="Q8:Q10" si="16">(O8-P8)/G8</f>
        <v>-1.2499999999999734E-3</v>
      </c>
      <c r="R8" s="291">
        <f t="shared" ref="R8:R10" si="17">(X8-Y8)/G8</f>
        <v>6.2500000000000888E-3</v>
      </c>
      <c r="S8" s="292">
        <f t="shared" ref="S8:S10" si="18">1.5*(N8*$P$3/R8^0.5)^(3/8)</f>
        <v>0.65957540856764385</v>
      </c>
      <c r="T8" s="293">
        <v>800</v>
      </c>
      <c r="U8" s="294">
        <f t="shared" ref="U8:U10" si="19">0.397*((T8/1000)^(2/3)*R8^0.5)/$P$3</f>
        <v>2.0805611647385582</v>
      </c>
      <c r="V8" s="294">
        <f t="shared" ref="V8:V17" si="20">O8-X8</f>
        <v>1.5499999999999989</v>
      </c>
      <c r="W8" s="294">
        <f t="shared" si="8"/>
        <v>1.67</v>
      </c>
      <c r="X8" s="300">
        <f>Y7-0.2</f>
        <v>12.860000000000001</v>
      </c>
      <c r="Y8" s="300">
        <v>12.76</v>
      </c>
      <c r="Z8" s="289">
        <f t="shared" ref="Z8:Z10" si="21">O8-X8</f>
        <v>1.5499999999999989</v>
      </c>
      <c r="AA8" s="289">
        <f t="shared" ref="AA8:AA10" si="22">P8-Y8</f>
        <v>1.67</v>
      </c>
      <c r="AB8" s="294">
        <f t="shared" ref="AB8:AB10" si="23">G8/(60*U8)</f>
        <v>0.1281705489779128</v>
      </c>
      <c r="AC8" s="295">
        <v>0</v>
      </c>
      <c r="AD8" s="295">
        <f t="shared" ref="AD8:AD10" si="24">(G8*(Z8+AA8)/2*IF(T8=300,0.85,IF(T8=400,1,IF(T8=500,1.15,IF(T8=600,1.35,IF(T8=800,1.65,IF(T8=1000,2,IF(T8=1200,2.3,IF(T8=1500,2.85)))))))))</f>
        <v>42.503999999999984</v>
      </c>
      <c r="AE8" s="295">
        <f t="shared" si="1"/>
        <v>29.937629385640811</v>
      </c>
      <c r="AF8" s="670"/>
      <c r="AG8" s="283"/>
      <c r="AH8" s="283"/>
      <c r="AI8" s="283"/>
      <c r="AJ8" s="283"/>
    </row>
    <row r="9" spans="1:39">
      <c r="A9" s="285">
        <f t="shared" ref="A9:A10" si="25">D8</f>
        <v>0</v>
      </c>
      <c r="B9" s="285" t="str">
        <f t="shared" si="11"/>
        <v>+</v>
      </c>
      <c r="C9" s="286">
        <f>F8+1</f>
        <v>6</v>
      </c>
      <c r="D9" s="285">
        <v>3</v>
      </c>
      <c r="E9" s="296" t="s">
        <v>57</v>
      </c>
      <c r="F9" s="286">
        <v>4</v>
      </c>
      <c r="G9" s="286">
        <f>(D9*20+F9)-(A9*20+C9)</f>
        <v>58</v>
      </c>
      <c r="H9" s="286">
        <f>H8+60*(G9+130)</f>
        <v>44957</v>
      </c>
      <c r="I9" s="286">
        <v>10</v>
      </c>
      <c r="J9" s="287">
        <f t="shared" si="12"/>
        <v>121.13687506584991</v>
      </c>
      <c r="K9" s="288">
        <v>0.6</v>
      </c>
      <c r="L9" s="289">
        <f t="shared" si="13"/>
        <v>0.90765841538923564</v>
      </c>
      <c r="M9" s="288">
        <v>0</v>
      </c>
      <c r="N9" s="288">
        <f t="shared" si="14"/>
        <v>0.90765841538923564</v>
      </c>
      <c r="O9" s="297">
        <f t="shared" si="15"/>
        <v>14.43</v>
      </c>
      <c r="P9" s="297">
        <v>14.3</v>
      </c>
      <c r="Q9" s="290">
        <f t="shared" si="16"/>
        <v>2.2413793103448106E-3</v>
      </c>
      <c r="R9" s="291">
        <f t="shared" si="17"/>
        <v>6.2931034482758656E-3</v>
      </c>
      <c r="S9" s="292">
        <f t="shared" si="18"/>
        <v>0.73409753766304564</v>
      </c>
      <c r="T9" s="293">
        <v>800</v>
      </c>
      <c r="U9" s="294">
        <f t="shared" si="19"/>
        <v>2.0877231864862082</v>
      </c>
      <c r="V9" s="294">
        <f t="shared" si="20"/>
        <v>1.67</v>
      </c>
      <c r="W9" s="294">
        <f t="shared" si="8"/>
        <v>1.9050000000000011</v>
      </c>
      <c r="X9" s="300">
        <f t="shared" ref="X9:X17" si="26">Y8</f>
        <v>12.76</v>
      </c>
      <c r="Y9" s="300">
        <v>12.395</v>
      </c>
      <c r="Z9" s="289">
        <f t="shared" si="21"/>
        <v>1.67</v>
      </c>
      <c r="AA9" s="289">
        <f t="shared" si="22"/>
        <v>1.9050000000000011</v>
      </c>
      <c r="AB9" s="294">
        <f t="shared" si="23"/>
        <v>0.46302434773148149</v>
      </c>
      <c r="AC9" s="295">
        <v>0</v>
      </c>
      <c r="AD9" s="295">
        <f t="shared" si="24"/>
        <v>171.06375000000003</v>
      </c>
      <c r="AE9" s="295">
        <f t="shared" si="1"/>
        <v>125.51065652294803</v>
      </c>
      <c r="AF9" s="670"/>
      <c r="AG9" s="283"/>
      <c r="AH9" s="283"/>
      <c r="AI9" s="283"/>
      <c r="AJ9" s="283"/>
    </row>
    <row r="10" spans="1:39">
      <c r="A10" s="285">
        <f t="shared" si="25"/>
        <v>3</v>
      </c>
      <c r="B10" s="285" t="str">
        <f t="shared" si="11"/>
        <v>+</v>
      </c>
      <c r="C10" s="286">
        <v>2</v>
      </c>
      <c r="D10" s="285">
        <v>3</v>
      </c>
      <c r="E10" s="296" t="s">
        <v>57</v>
      </c>
      <c r="F10" s="286">
        <v>2</v>
      </c>
      <c r="G10" s="286">
        <v>7</v>
      </c>
      <c r="H10" s="286">
        <f>H9+60*G10</f>
        <v>45377</v>
      </c>
      <c r="I10" s="286">
        <v>10</v>
      </c>
      <c r="J10" s="287">
        <f t="shared" si="12"/>
        <v>121.13687506584991</v>
      </c>
      <c r="K10" s="288">
        <v>0.6</v>
      </c>
      <c r="L10" s="289">
        <f t="shared" si="13"/>
        <v>0.9161379966438451</v>
      </c>
      <c r="M10" s="288">
        <v>0</v>
      </c>
      <c r="N10" s="288">
        <f t="shared" si="14"/>
        <v>0.9161379966438451</v>
      </c>
      <c r="O10" s="297">
        <f t="shared" si="15"/>
        <v>14.3</v>
      </c>
      <c r="P10" s="297">
        <v>14.27</v>
      </c>
      <c r="Q10" s="290">
        <f t="shared" si="16"/>
        <v>4.2857142857144481E-3</v>
      </c>
      <c r="R10" s="291">
        <f t="shared" si="17"/>
        <v>6.2857142857141012E-3</v>
      </c>
      <c r="S10" s="292">
        <f t="shared" si="18"/>
        <v>0.73682416015284069</v>
      </c>
      <c r="T10" s="293">
        <v>800</v>
      </c>
      <c r="U10" s="294">
        <f t="shared" si="19"/>
        <v>2.0864971572996032</v>
      </c>
      <c r="V10" s="294">
        <f t="shared" si="20"/>
        <v>1.9050000000000011</v>
      </c>
      <c r="W10" s="294">
        <f t="shared" si="8"/>
        <v>1.9189999999999987</v>
      </c>
      <c r="X10" s="300">
        <f t="shared" si="26"/>
        <v>12.395</v>
      </c>
      <c r="Y10" s="300">
        <v>12.351000000000001</v>
      </c>
      <c r="Z10" s="289">
        <f t="shared" si="21"/>
        <v>1.9050000000000011</v>
      </c>
      <c r="AA10" s="289">
        <f t="shared" si="22"/>
        <v>1.9189999999999987</v>
      </c>
      <c r="AB10" s="294">
        <f t="shared" si="23"/>
        <v>5.5915085366164408E-2</v>
      </c>
      <c r="AC10" s="295">
        <v>0</v>
      </c>
      <c r="AD10" s="295">
        <f t="shared" si="24"/>
        <v>22.083600000000001</v>
      </c>
      <c r="AE10" s="295">
        <f t="shared" si="1"/>
        <v>16.585812856217863</v>
      </c>
      <c r="AF10" s="670"/>
      <c r="AG10" s="283"/>
      <c r="AH10" s="283"/>
      <c r="AI10" s="283"/>
      <c r="AJ10" s="283"/>
    </row>
    <row r="11" spans="1:39">
      <c r="A11" s="285">
        <f t="shared" ref="A11:A12" si="27">D10</f>
        <v>3</v>
      </c>
      <c r="B11" s="285" t="str">
        <f t="shared" ref="B11:B12" si="28">E10</f>
        <v>+</v>
      </c>
      <c r="C11" s="286">
        <f>F10+1</f>
        <v>3</v>
      </c>
      <c r="D11" s="285">
        <v>0</v>
      </c>
      <c r="E11" s="296" t="s">
        <v>57</v>
      </c>
      <c r="F11" s="286">
        <v>5</v>
      </c>
      <c r="G11" s="286">
        <v>4</v>
      </c>
      <c r="H11" s="286">
        <f>H10+70*G11</f>
        <v>45657</v>
      </c>
      <c r="I11" s="286">
        <v>10</v>
      </c>
      <c r="J11" s="287">
        <f t="shared" ref="J11" si="29">($R$3*$M$3^$V$3)/(I11+$T$3)^$X$3</f>
        <v>121.13687506584991</v>
      </c>
      <c r="K11" s="288">
        <v>0.6</v>
      </c>
      <c r="L11" s="289">
        <f t="shared" ref="L11" si="30">K11*J11*(H11/(1000*1000)/3.6)</f>
        <v>0.92179105081358492</v>
      </c>
      <c r="M11" s="288">
        <v>0</v>
      </c>
      <c r="N11" s="288">
        <f t="shared" ref="N11" si="31">L11-M11</f>
        <v>0.92179105081358492</v>
      </c>
      <c r="O11" s="297">
        <f t="shared" si="15"/>
        <v>14.27</v>
      </c>
      <c r="P11" s="297">
        <v>14.26</v>
      </c>
      <c r="Q11" s="290">
        <f t="shared" ref="Q11" si="32">(O11-P11)/G11</f>
        <v>2.4999999999999467E-3</v>
      </c>
      <c r="R11" s="291">
        <f t="shared" ref="R11:R17" si="33">(X11-Y11)/G11</f>
        <v>6.2500000000000888E-3</v>
      </c>
      <c r="S11" s="292">
        <f t="shared" ref="S11" si="34">1.5*(N11*$P$3/R11^0.5)^(3/8)</f>
        <v>0.73931530303375426</v>
      </c>
      <c r="T11" s="293">
        <v>800</v>
      </c>
      <c r="U11" s="294">
        <f t="shared" ref="U11" si="35">0.397*((T11/1000)^(2/3)*R11^0.5)/$P$3</f>
        <v>2.0805611647385582</v>
      </c>
      <c r="V11" s="294">
        <f t="shared" si="20"/>
        <v>1.9189999999999987</v>
      </c>
      <c r="W11" s="294">
        <f t="shared" ref="W11" si="36">P11-Y11</f>
        <v>1.9339999999999993</v>
      </c>
      <c r="X11" s="300">
        <f t="shared" si="26"/>
        <v>12.351000000000001</v>
      </c>
      <c r="Y11" s="300">
        <v>12.326000000000001</v>
      </c>
      <c r="Z11" s="289">
        <f t="shared" ref="Z11" si="37">O11-X11</f>
        <v>1.9189999999999987</v>
      </c>
      <c r="AA11" s="289">
        <f t="shared" ref="AA11" si="38">P11-Y11</f>
        <v>1.9339999999999993</v>
      </c>
      <c r="AB11" s="294">
        <f t="shared" ref="AB11" si="39">G11/(60*U11)</f>
        <v>3.20426372444782E-2</v>
      </c>
      <c r="AC11" s="295">
        <v>0</v>
      </c>
      <c r="AD11" s="295">
        <f t="shared" ref="AD11" si="40">(G11*(Z11+AA11)/2*IF(T11=300,0.85,IF(T11=400,1,IF(T11=500,1.15,IF(T11=600,1.35,IF(T11=800,1.65,IF(T11=1000,2,IF(T11=1200,2.3,IF(T11=1500,2.85)))))))))</f>
        <v>12.714899999999993</v>
      </c>
      <c r="AE11" s="295">
        <f t="shared" si="1"/>
        <v>9.5733073464101999</v>
      </c>
      <c r="AF11" s="670"/>
      <c r="AG11" s="283"/>
      <c r="AH11" s="283"/>
      <c r="AI11" s="283"/>
      <c r="AJ11" s="283"/>
    </row>
    <row r="12" spans="1:39">
      <c r="A12" s="285">
        <f t="shared" si="27"/>
        <v>0</v>
      </c>
      <c r="B12" s="285" t="str">
        <f t="shared" si="28"/>
        <v>+</v>
      </c>
      <c r="C12" s="286">
        <f>F11+1</f>
        <v>6</v>
      </c>
      <c r="D12" s="285">
        <v>6</v>
      </c>
      <c r="E12" s="296" t="s">
        <v>57</v>
      </c>
      <c r="F12" s="286">
        <v>10</v>
      </c>
      <c r="G12" s="286">
        <f>(D12*20+F12)-(A12*20+C12)</f>
        <v>124</v>
      </c>
      <c r="H12" s="286">
        <f>H11+70*G12</f>
        <v>54337</v>
      </c>
      <c r="I12" s="286">
        <v>10</v>
      </c>
      <c r="J12" s="287">
        <f t="shared" ref="J12" si="41">($R$3*$M$3^$V$3)/(I12+$T$3)^$X$3</f>
        <v>121.13687506584991</v>
      </c>
      <c r="K12" s="288">
        <v>0.6</v>
      </c>
      <c r="L12" s="289">
        <f t="shared" ref="L12" si="42">K12*J12*(H12/(1000*1000)/3.6)</f>
        <v>1.0970357300755145</v>
      </c>
      <c r="M12" s="288">
        <v>0</v>
      </c>
      <c r="N12" s="288">
        <f t="shared" ref="N12" si="43">L12-M12</f>
        <v>1.0970357300755145</v>
      </c>
      <c r="O12" s="297">
        <f t="shared" si="15"/>
        <v>14.26</v>
      </c>
      <c r="P12" s="297">
        <v>14.25</v>
      </c>
      <c r="Q12" s="290">
        <f t="shared" ref="Q12" si="44">(O12-P12)/G12</f>
        <v>8.0645161290320859E-5</v>
      </c>
      <c r="R12" s="291">
        <f t="shared" si="33"/>
        <v>6.3387096774193659E-3</v>
      </c>
      <c r="S12" s="292">
        <f t="shared" ref="S12" si="45">1.5*(N12*$P$3/R12^0.5)^(3/8)</f>
        <v>0.78709588973975486</v>
      </c>
      <c r="T12" s="293">
        <v>800</v>
      </c>
      <c r="U12" s="294">
        <f t="shared" ref="U12" si="46">0.397*((T12/1000)^(2/3)*R12^0.5)/$P$3</f>
        <v>2.0952744131717638</v>
      </c>
      <c r="V12" s="294">
        <f t="shared" si="20"/>
        <v>1.9339999999999993</v>
      </c>
      <c r="W12" s="294">
        <f t="shared" ref="W12" si="47">P12-Y12</f>
        <v>2.7100000000000009</v>
      </c>
      <c r="X12" s="300">
        <f t="shared" si="26"/>
        <v>12.326000000000001</v>
      </c>
      <c r="Y12" s="300">
        <v>11.54</v>
      </c>
      <c r="Z12" s="289">
        <f t="shared" ref="Z12" si="48">O12-X12</f>
        <v>1.9339999999999993</v>
      </c>
      <c r="AA12" s="289">
        <f t="shared" ref="AA12" si="49">P12-Y12</f>
        <v>2.7100000000000009</v>
      </c>
      <c r="AB12" s="294">
        <f t="shared" ref="AB12" si="50">G12/(60*U12)</f>
        <v>0.98634653946745265</v>
      </c>
      <c r="AC12" s="295">
        <v>0</v>
      </c>
      <c r="AD12" s="295">
        <f t="shared" ref="AD12" si="51">(G12*(Z12+AA12)/2*IF(T12=300,0.85,IF(T12=400,1,IF(T12=500,1.15,IF(T12=600,1.35,IF(T12=800,1.65,IF(T12=1000,2,IF(T12=1200,2.3,IF(T12=1500,2.85)))))))))</f>
        <v>475.08119999999997</v>
      </c>
      <c r="AE12" s="295">
        <f t="shared" si="1"/>
        <v>377.69182773871637</v>
      </c>
      <c r="AF12" s="670"/>
      <c r="AG12" s="283"/>
      <c r="AH12" s="283"/>
      <c r="AI12" s="283"/>
      <c r="AJ12" s="283"/>
    </row>
    <row r="13" spans="1:39">
      <c r="A13" s="285">
        <f t="shared" ref="A13:A16" si="52">D12</f>
        <v>6</v>
      </c>
      <c r="B13" s="285" t="str">
        <f t="shared" ref="B13:B16" si="53">E12</f>
        <v>+</v>
      </c>
      <c r="C13" s="286">
        <v>10</v>
      </c>
      <c r="D13" s="285">
        <v>0</v>
      </c>
      <c r="E13" s="296" t="s">
        <v>57</v>
      </c>
      <c r="F13" s="286">
        <v>14</v>
      </c>
      <c r="G13" s="286">
        <v>14</v>
      </c>
      <c r="H13" s="286">
        <f>H12+70*G13</f>
        <v>55317</v>
      </c>
      <c r="I13" s="286">
        <v>10</v>
      </c>
      <c r="J13" s="287">
        <f t="shared" ref="J13:J16" si="54">($R$3*$M$3^$V$3)/(I13+$T$3)^$X$3</f>
        <v>121.13687506584991</v>
      </c>
      <c r="K13" s="288">
        <v>0.6</v>
      </c>
      <c r="L13" s="289">
        <f t="shared" ref="L13:L16" si="55">K13*J13*(H13/(1000*1000)/3.6)</f>
        <v>1.1168214196696031</v>
      </c>
      <c r="M13" s="288">
        <v>0</v>
      </c>
      <c r="N13" s="288">
        <f t="shared" ref="N13:N16" si="56">L13-M13</f>
        <v>1.1168214196696031</v>
      </c>
      <c r="O13" s="297">
        <f t="shared" si="15"/>
        <v>14.25</v>
      </c>
      <c r="P13" s="297">
        <v>14.24</v>
      </c>
      <c r="Q13" s="290">
        <f t="shared" ref="Q13:Q16" si="57">(O13-P13)/G13</f>
        <v>7.1428571428569911E-4</v>
      </c>
      <c r="R13" s="291">
        <f t="shared" si="33"/>
        <v>6.2857142857142279E-3</v>
      </c>
      <c r="S13" s="292">
        <f t="shared" ref="S13:S16" si="58">1.5*(N13*$P$3/R13^0.5)^(3/8)</f>
        <v>0.79363794218999417</v>
      </c>
      <c r="T13" s="293">
        <v>800</v>
      </c>
      <c r="U13" s="294">
        <f t="shared" ref="U13:U16" si="59">0.397*((T13/1000)^(2/3)*R13^0.5)/$P$3</f>
        <v>2.086497157299624</v>
      </c>
      <c r="V13" s="294">
        <f t="shared" si="20"/>
        <v>2.7100000000000009</v>
      </c>
      <c r="W13" s="294">
        <f t="shared" ref="W13:W16" si="60">P13-Y13</f>
        <v>2.7880000000000003</v>
      </c>
      <c r="X13" s="300">
        <f t="shared" si="26"/>
        <v>11.54</v>
      </c>
      <c r="Y13" s="300">
        <v>11.452</v>
      </c>
      <c r="Z13" s="289">
        <f t="shared" ref="Z13:Z16" si="61">O13-X13</f>
        <v>2.7100000000000009</v>
      </c>
      <c r="AA13" s="289">
        <f t="shared" ref="AA13:AA16" si="62">P13-Y13</f>
        <v>2.7880000000000003</v>
      </c>
      <c r="AB13" s="294">
        <f t="shared" ref="AB13:AB16" si="63">G13/(60*U13)</f>
        <v>0.11183017073232769</v>
      </c>
      <c r="AC13" s="295">
        <v>0</v>
      </c>
      <c r="AD13" s="295">
        <f t="shared" ref="AD13:AD16" si="64">(G13*(Z13+AA13)/2*IF(T13=300,0.85,IF(T13=400,1,IF(T13=500,1.15,IF(T13=600,1.35,IF(T13=800,1.65,IF(T13=1000,2,IF(T13=1200,2.3,IF(T13=1500,2.85)))))))))</f>
        <v>63.501900000000006</v>
      </c>
      <c r="AE13" s="295">
        <f t="shared" si="1"/>
        <v>52.506325712435732</v>
      </c>
      <c r="AF13" s="670"/>
      <c r="AG13" s="283"/>
      <c r="AH13" s="283"/>
      <c r="AI13" s="283"/>
      <c r="AJ13" s="283"/>
    </row>
    <row r="14" spans="1:39">
      <c r="A14" s="285">
        <f t="shared" si="52"/>
        <v>0</v>
      </c>
      <c r="B14" s="285" t="str">
        <f t="shared" si="53"/>
        <v>+</v>
      </c>
      <c r="C14" s="286">
        <f>F13+1</f>
        <v>15</v>
      </c>
      <c r="D14" s="285">
        <v>3</v>
      </c>
      <c r="E14" s="296" t="s">
        <v>57</v>
      </c>
      <c r="F14" s="286">
        <v>1</v>
      </c>
      <c r="G14" s="286">
        <f>(D14*20+F14)-(A14*20+C14)</f>
        <v>46</v>
      </c>
      <c r="H14" s="286">
        <f>H13+70*G14</f>
        <v>58537</v>
      </c>
      <c r="I14" s="286">
        <v>10</v>
      </c>
      <c r="J14" s="287">
        <f t="shared" si="54"/>
        <v>121.13687506584991</v>
      </c>
      <c r="K14" s="288">
        <v>0.6</v>
      </c>
      <c r="L14" s="289">
        <f t="shared" si="55"/>
        <v>1.1818315426216093</v>
      </c>
      <c r="M14" s="288">
        <v>0</v>
      </c>
      <c r="N14" s="288">
        <f t="shared" si="56"/>
        <v>1.1818315426216093</v>
      </c>
      <c r="O14" s="297">
        <f t="shared" si="15"/>
        <v>14.24</v>
      </c>
      <c r="P14" s="297">
        <v>14.1</v>
      </c>
      <c r="Q14" s="290">
        <f t="shared" si="57"/>
        <v>3.0434782608695777E-3</v>
      </c>
      <c r="R14" s="291">
        <f t="shared" si="33"/>
        <v>6.3478260869565175E-3</v>
      </c>
      <c r="S14" s="292">
        <f t="shared" si="58"/>
        <v>0.80916328027782236</v>
      </c>
      <c r="T14" s="293">
        <v>800</v>
      </c>
      <c r="U14" s="294">
        <f t="shared" si="59"/>
        <v>2.0967805964164619</v>
      </c>
      <c r="V14" s="294">
        <f t="shared" si="20"/>
        <v>2.7880000000000003</v>
      </c>
      <c r="W14" s="294">
        <f t="shared" si="60"/>
        <v>2.9399999999999995</v>
      </c>
      <c r="X14" s="300">
        <f t="shared" si="26"/>
        <v>11.452</v>
      </c>
      <c r="Y14" s="300">
        <v>11.16</v>
      </c>
      <c r="Z14" s="289">
        <f t="shared" si="61"/>
        <v>2.7880000000000003</v>
      </c>
      <c r="AA14" s="289">
        <f t="shared" si="62"/>
        <v>2.9399999999999995</v>
      </c>
      <c r="AB14" s="294">
        <f t="shared" si="63"/>
        <v>0.36563990909537758</v>
      </c>
      <c r="AC14" s="295">
        <v>0</v>
      </c>
      <c r="AD14" s="295">
        <f t="shared" si="64"/>
        <v>217.3776</v>
      </c>
      <c r="AE14" s="295">
        <f t="shared" si="1"/>
        <v>181.24928448371739</v>
      </c>
      <c r="AF14" s="670"/>
      <c r="AG14" s="283"/>
      <c r="AH14" s="283"/>
      <c r="AI14" s="283"/>
      <c r="AJ14" s="283"/>
    </row>
    <row r="15" spans="1:39">
      <c r="A15" s="285">
        <f t="shared" si="52"/>
        <v>3</v>
      </c>
      <c r="B15" s="285" t="str">
        <f t="shared" si="53"/>
        <v>+</v>
      </c>
      <c r="C15" s="286">
        <f t="shared" ref="C15:C16" si="65">F14+1</f>
        <v>2</v>
      </c>
      <c r="D15" s="285">
        <v>4</v>
      </c>
      <c r="E15" s="296" t="s">
        <v>57</v>
      </c>
      <c r="F15" s="286">
        <v>11</v>
      </c>
      <c r="G15" s="286">
        <f t="shared" ref="G15" si="66">(D15*20+F15)-(A15*20+C15)</f>
        <v>29</v>
      </c>
      <c r="H15" s="286">
        <f t="shared" ref="H15:H16" si="67">H14+70*G15</f>
        <v>60567</v>
      </c>
      <c r="I15" s="286">
        <v>10</v>
      </c>
      <c r="J15" s="287">
        <f t="shared" si="54"/>
        <v>121.13687506584991</v>
      </c>
      <c r="K15" s="288">
        <v>0.6</v>
      </c>
      <c r="L15" s="289">
        <f t="shared" si="55"/>
        <v>1.2228161853522219</v>
      </c>
      <c r="M15" s="288">
        <v>0</v>
      </c>
      <c r="N15" s="288">
        <f t="shared" si="56"/>
        <v>1.2228161853522219</v>
      </c>
      <c r="O15" s="297">
        <f t="shared" si="15"/>
        <v>14.1</v>
      </c>
      <c r="P15" s="297">
        <v>13.92</v>
      </c>
      <c r="Q15" s="290">
        <f t="shared" si="57"/>
        <v>6.2068965517241281E-3</v>
      </c>
      <c r="R15" s="291">
        <f t="shared" si="33"/>
        <v>7.2413793103448566E-3</v>
      </c>
      <c r="S15" s="292">
        <f t="shared" si="58"/>
        <v>0.7995837603168432</v>
      </c>
      <c r="T15" s="293">
        <v>1000</v>
      </c>
      <c r="U15" s="294">
        <f t="shared" si="59"/>
        <v>2.5987099117578127</v>
      </c>
      <c r="V15" s="294">
        <f t="shared" si="20"/>
        <v>3.1399999999999988</v>
      </c>
      <c r="W15" s="294">
        <f t="shared" si="60"/>
        <v>3.17</v>
      </c>
      <c r="X15" s="300">
        <f>Y14-0.2</f>
        <v>10.96</v>
      </c>
      <c r="Y15" s="300">
        <v>10.75</v>
      </c>
      <c r="Z15" s="289">
        <f t="shared" si="61"/>
        <v>3.1399999999999988</v>
      </c>
      <c r="AA15" s="289">
        <f t="shared" si="62"/>
        <v>3.17</v>
      </c>
      <c r="AB15" s="294">
        <f t="shared" si="63"/>
        <v>0.18598972172557662</v>
      </c>
      <c r="AC15" s="295">
        <v>0</v>
      </c>
      <c r="AD15" s="295">
        <f t="shared" si="64"/>
        <v>182.98999999999995</v>
      </c>
      <c r="AE15" s="295">
        <f t="shared" si="1"/>
        <v>150.19177269652252</v>
      </c>
      <c r="AF15" s="670"/>
      <c r="AG15" s="283"/>
      <c r="AH15" s="283"/>
      <c r="AI15" s="283"/>
      <c r="AJ15" s="283"/>
    </row>
    <row r="16" spans="1:39">
      <c r="A16" s="285">
        <f t="shared" si="52"/>
        <v>4</v>
      </c>
      <c r="B16" s="285" t="str">
        <f t="shared" si="53"/>
        <v>+</v>
      </c>
      <c r="C16" s="286">
        <f t="shared" si="65"/>
        <v>12</v>
      </c>
      <c r="D16" s="790" t="s">
        <v>708</v>
      </c>
      <c r="E16" s="791"/>
      <c r="F16" s="792"/>
      <c r="G16" s="286">
        <v>32</v>
      </c>
      <c r="H16" s="286">
        <f t="shared" si="67"/>
        <v>62807</v>
      </c>
      <c r="I16" s="286">
        <v>10</v>
      </c>
      <c r="J16" s="287">
        <f t="shared" si="54"/>
        <v>121.13687506584991</v>
      </c>
      <c r="K16" s="288">
        <v>0.6</v>
      </c>
      <c r="L16" s="289">
        <f t="shared" si="55"/>
        <v>1.2680406187101392</v>
      </c>
      <c r="M16" s="288">
        <v>0</v>
      </c>
      <c r="N16" s="288">
        <f t="shared" si="56"/>
        <v>1.2680406187101392</v>
      </c>
      <c r="O16" s="297">
        <f t="shared" si="15"/>
        <v>13.92</v>
      </c>
      <c r="P16" s="297">
        <v>13.91</v>
      </c>
      <c r="Q16" s="290">
        <f t="shared" si="57"/>
        <v>3.1249999999999334E-4</v>
      </c>
      <c r="R16" s="291">
        <f t="shared" si="33"/>
        <v>8.4374999999999867E-3</v>
      </c>
      <c r="S16" s="292">
        <f t="shared" si="58"/>
        <v>0.78764381735329791</v>
      </c>
      <c r="T16" s="293">
        <v>1000</v>
      </c>
      <c r="U16" s="294">
        <f t="shared" si="59"/>
        <v>2.8051368112065029</v>
      </c>
      <c r="V16" s="294">
        <f t="shared" si="20"/>
        <v>3.17</v>
      </c>
      <c r="W16" s="294">
        <f t="shared" si="60"/>
        <v>3.4299999999999997</v>
      </c>
      <c r="X16" s="300">
        <f t="shared" si="26"/>
        <v>10.75</v>
      </c>
      <c r="Y16" s="300">
        <v>10.48</v>
      </c>
      <c r="Z16" s="289">
        <f t="shared" si="61"/>
        <v>3.17</v>
      </c>
      <c r="AA16" s="289">
        <f t="shared" si="62"/>
        <v>3.4299999999999997</v>
      </c>
      <c r="AB16" s="294">
        <f t="shared" si="63"/>
        <v>0.1901273874424485</v>
      </c>
      <c r="AC16" s="295">
        <v>0</v>
      </c>
      <c r="AD16" s="295">
        <f t="shared" si="64"/>
        <v>211.2</v>
      </c>
      <c r="AE16" s="295">
        <f t="shared" si="1"/>
        <v>175.00885263064558</v>
      </c>
      <c r="AF16" s="670"/>
      <c r="AG16" s="283"/>
      <c r="AH16" s="283"/>
      <c r="AI16" s="283"/>
      <c r="AJ16" s="283"/>
    </row>
    <row r="17" spans="1:36">
      <c r="A17" s="790" t="str">
        <f t="shared" ref="A17" si="68">D16</f>
        <v>CL-01</v>
      </c>
      <c r="B17" s="791"/>
      <c r="C17" s="792"/>
      <c r="D17" s="790" t="s">
        <v>709</v>
      </c>
      <c r="E17" s="791"/>
      <c r="F17" s="792"/>
      <c r="G17" s="286">
        <v>53</v>
      </c>
      <c r="H17" s="286">
        <f t="shared" ref="H17" si="69">H16+70*G17</f>
        <v>66517</v>
      </c>
      <c r="I17" s="286">
        <v>10</v>
      </c>
      <c r="J17" s="287">
        <f t="shared" ref="J17" si="70">($R$3*$M$3^$V$3)/(I17+$T$3)^$X$3</f>
        <v>121.13687506584991</v>
      </c>
      <c r="K17" s="288">
        <v>0.6</v>
      </c>
      <c r="L17" s="289">
        <f t="shared" ref="L17" si="71">K17*J17*(H17/(1000*1000)/3.6)</f>
        <v>1.3429435864591897</v>
      </c>
      <c r="M17" s="288">
        <v>0</v>
      </c>
      <c r="N17" s="288">
        <f t="shared" ref="N17" si="72">L17-M17</f>
        <v>1.3429435864591897</v>
      </c>
      <c r="O17" s="297">
        <f t="shared" si="15"/>
        <v>13.91</v>
      </c>
      <c r="P17" s="297">
        <v>13.9</v>
      </c>
      <c r="Q17" s="290">
        <f t="shared" ref="Q17" si="73">(O17-P17)/G17</f>
        <v>1.8867924528301485E-4</v>
      </c>
      <c r="R17" s="291">
        <f t="shared" si="33"/>
        <v>9.0188679245282975E-3</v>
      </c>
      <c r="S17" s="292">
        <f t="shared" ref="S17" si="74">1.5*(N17*$P$3/R17^0.5)^(3/8)</f>
        <v>0.79478685311680941</v>
      </c>
      <c r="T17" s="293">
        <v>1000</v>
      </c>
      <c r="U17" s="294">
        <f t="shared" ref="U17" si="75">0.397*((T17/1000)^(2/3)*R17^0.5)/$P$3</f>
        <v>2.9001680778848207</v>
      </c>
      <c r="V17" s="294">
        <f t="shared" si="20"/>
        <v>3.4299999999999997</v>
      </c>
      <c r="W17" s="294">
        <f t="shared" ref="W17" si="76">P17-Y17</f>
        <v>3.8979999999999997</v>
      </c>
      <c r="X17" s="300">
        <f t="shared" si="26"/>
        <v>10.48</v>
      </c>
      <c r="Y17" s="300">
        <v>10.002000000000001</v>
      </c>
      <c r="Z17" s="289">
        <f t="shared" ref="Z17" si="77">O17-X17</f>
        <v>3.4299999999999997</v>
      </c>
      <c r="AA17" s="289">
        <f t="shared" ref="AA17" si="78">P17-Y17</f>
        <v>3.8979999999999997</v>
      </c>
      <c r="AB17" s="294">
        <f t="shared" ref="AB17" si="79">G17/(60*U17)</f>
        <v>0.30458004833208657</v>
      </c>
      <c r="AC17" s="295">
        <v>0</v>
      </c>
      <c r="AD17" s="295">
        <f t="shared" ref="AD17" si="80">(G17*(Z17+AA17)/2*IF(T17=300,0.85,IF(T17=400,1,IF(T17=500,1.15,IF(T17=600,1.35,IF(T17=800,1.65,IF(T17=1000,2,IF(T17=1200,2.3,IF(T17=1500,2.85)))))))))</f>
        <v>388.38399999999996</v>
      </c>
      <c r="AE17" s="295">
        <f t="shared" si="1"/>
        <v>328.44241216950672</v>
      </c>
      <c r="AF17" s="670"/>
      <c r="AG17" s="283"/>
      <c r="AH17" s="283"/>
      <c r="AI17" s="283"/>
      <c r="AJ17" s="283"/>
    </row>
    <row r="18" spans="1:36">
      <c r="A18" s="371"/>
      <c r="B18" s="370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370"/>
      <c r="AE18" s="370"/>
    </row>
    <row r="19" spans="1:36">
      <c r="A19" s="821" t="s">
        <v>327</v>
      </c>
      <c r="B19" s="822"/>
      <c r="C19" s="822"/>
      <c r="D19" s="822"/>
      <c r="E19" s="822"/>
      <c r="F19" s="822"/>
      <c r="G19" s="822"/>
      <c r="H19" s="822"/>
      <c r="I19" s="822"/>
      <c r="J19" s="822"/>
      <c r="K19" s="822"/>
      <c r="L19" s="822"/>
      <c r="M19" s="822"/>
      <c r="N19" s="822"/>
      <c r="O19" s="822"/>
      <c r="P19" s="822"/>
      <c r="Q19" s="822"/>
      <c r="R19" s="822"/>
      <c r="S19" s="822"/>
      <c r="T19" s="822"/>
      <c r="U19" s="822"/>
      <c r="V19" s="822"/>
      <c r="W19" s="822"/>
      <c r="X19" s="822"/>
      <c r="Y19" s="822"/>
      <c r="Z19" s="822"/>
      <c r="AA19" s="822"/>
      <c r="AB19" s="822"/>
      <c r="AC19" s="822"/>
      <c r="AD19" s="822"/>
      <c r="AE19" s="822"/>
    </row>
    <row r="20" spans="1:36">
      <c r="A20" s="659">
        <f>A6</f>
        <v>4</v>
      </c>
      <c r="B20" s="659" t="str">
        <f>B6</f>
        <v>+</v>
      </c>
      <c r="C20" s="660">
        <f>C6</f>
        <v>17</v>
      </c>
      <c r="D20" s="659"/>
      <c r="E20" s="659"/>
      <c r="F20" s="659"/>
      <c r="G20" s="660">
        <v>8</v>
      </c>
      <c r="H20" s="819" t="s">
        <v>710</v>
      </c>
      <c r="I20" s="819"/>
      <c r="J20" s="819"/>
      <c r="K20" s="819"/>
      <c r="L20" s="819"/>
      <c r="M20" s="662"/>
      <c r="N20" s="663"/>
      <c r="O20" s="664"/>
      <c r="P20" s="816" t="s">
        <v>669</v>
      </c>
      <c r="Q20" s="817"/>
      <c r="R20" s="818"/>
      <c r="S20" s="665">
        <v>2</v>
      </c>
      <c r="T20" s="665">
        <v>400</v>
      </c>
      <c r="U20" s="666"/>
      <c r="V20" s="666"/>
      <c r="W20" s="667"/>
      <c r="X20" s="667"/>
      <c r="Y20" s="668"/>
      <c r="Z20" s="666">
        <f>Z6</f>
        <v>0.59999999999999964</v>
      </c>
      <c r="AA20" s="666">
        <f>AA6</f>
        <v>0.96999999999999886</v>
      </c>
      <c r="AB20" s="668"/>
      <c r="AC20" s="668"/>
      <c r="AD20" s="295">
        <f t="shared" ref="AD20" si="81">(G20*(Z20+AA20)/2*IF(T20=300,0.85,IF(T20=400,1,IF(T20=500,1.15,IF(T20=600,1.35,IF(T20=800,1.65,IF(T20=1000,2,IF(T20=1200,2.3,IF(T20=1500,2.85)))))))))</f>
        <v>6.279999999999994</v>
      </c>
      <c r="AE20" s="295">
        <f t="shared" ref="AE20:AE28" si="82">AD20-(G20)*(PI()*((IF(T20=300,0.46,IF(T20=400,0.56,IF(T20=500,0.66,IF(T20=600,0.76,IF(T20=800,1,IF(T20=1000,1.2,IF(T20=1200,1.4,IF(T20=1500,1.7)))))))))^2/4))</f>
        <v>4.3095930876684756</v>
      </c>
    </row>
    <row r="21" spans="1:36">
      <c r="A21" s="659">
        <f t="shared" ref="A21:C21" si="83">A7</f>
        <v>2</v>
      </c>
      <c r="B21" s="659" t="str">
        <f t="shared" si="83"/>
        <v>+</v>
      </c>
      <c r="C21" s="661">
        <f t="shared" si="83"/>
        <v>18</v>
      </c>
      <c r="D21" s="659"/>
      <c r="E21" s="659"/>
      <c r="F21" s="659"/>
      <c r="G21" s="660">
        <v>8</v>
      </c>
      <c r="H21" s="819" t="s">
        <v>710</v>
      </c>
      <c r="I21" s="819"/>
      <c r="J21" s="819"/>
      <c r="K21" s="819"/>
      <c r="L21" s="819"/>
      <c r="M21" s="662"/>
      <c r="N21" s="663"/>
      <c r="O21" s="664"/>
      <c r="P21" s="816" t="s">
        <v>669</v>
      </c>
      <c r="Q21" s="817"/>
      <c r="R21" s="818"/>
      <c r="S21" s="665">
        <v>2</v>
      </c>
      <c r="T21" s="665">
        <v>400</v>
      </c>
      <c r="U21" s="666"/>
      <c r="V21" s="666"/>
      <c r="W21" s="667"/>
      <c r="X21" s="667"/>
      <c r="Y21" s="668"/>
      <c r="Z21" s="666">
        <f t="shared" ref="Z21:AA21" si="84">Z7</f>
        <v>0.96999999999999886</v>
      </c>
      <c r="AA21" s="666">
        <f t="shared" si="84"/>
        <v>1.3499999999999996</v>
      </c>
      <c r="AB21" s="668"/>
      <c r="AC21" s="668"/>
      <c r="AD21" s="295">
        <f t="shared" ref="AD21:AD24" si="85">(G21*(Z21+AA21)/2*IF(T21=300,0.85,IF(T21=400,1,IF(T21=500,1.15,IF(T21=600,1.35,IF(T21=800,1.65,IF(T21=1000,2,IF(T21=1200,2.3,IF(T21=1500,2.85)))))))))</f>
        <v>9.279999999999994</v>
      </c>
      <c r="AE21" s="295">
        <f t="shared" si="82"/>
        <v>7.3095930876684756</v>
      </c>
    </row>
    <row r="22" spans="1:36">
      <c r="A22" s="659">
        <f t="shared" ref="A22:C22" si="86">A8</f>
        <v>0</v>
      </c>
      <c r="B22" s="659" t="str">
        <f t="shared" si="86"/>
        <v>+</v>
      </c>
      <c r="C22" s="661">
        <f t="shared" si="86"/>
        <v>18</v>
      </c>
      <c r="D22" s="659"/>
      <c r="E22" s="659"/>
      <c r="F22" s="659"/>
      <c r="G22" s="660">
        <v>8</v>
      </c>
      <c r="H22" s="813" t="s">
        <v>710</v>
      </c>
      <c r="I22" s="814"/>
      <c r="J22" s="814"/>
      <c r="K22" s="814"/>
      <c r="L22" s="815"/>
      <c r="M22" s="662"/>
      <c r="N22" s="663"/>
      <c r="O22" s="664"/>
      <c r="P22" s="816" t="s">
        <v>669</v>
      </c>
      <c r="Q22" s="817"/>
      <c r="R22" s="818"/>
      <c r="S22" s="665">
        <v>2</v>
      </c>
      <c r="T22" s="665">
        <v>400</v>
      </c>
      <c r="U22" s="666"/>
      <c r="V22" s="666"/>
      <c r="W22" s="667"/>
      <c r="X22" s="667"/>
      <c r="Y22" s="668"/>
      <c r="Z22" s="666">
        <f t="shared" ref="Z22:AA22" si="87">Z8</f>
        <v>1.5499999999999989</v>
      </c>
      <c r="AA22" s="666">
        <f t="shared" si="87"/>
        <v>1.67</v>
      </c>
      <c r="AB22" s="668"/>
      <c r="AC22" s="668"/>
      <c r="AD22" s="295">
        <f t="shared" si="85"/>
        <v>12.879999999999995</v>
      </c>
      <c r="AE22" s="295">
        <f t="shared" si="82"/>
        <v>10.909593087668476</v>
      </c>
    </row>
    <row r="23" spans="1:36">
      <c r="A23" s="659">
        <f t="shared" ref="A23:C23" si="88">A9</f>
        <v>0</v>
      </c>
      <c r="B23" s="659" t="str">
        <f t="shared" si="88"/>
        <v>+</v>
      </c>
      <c r="C23" s="661">
        <f t="shared" si="88"/>
        <v>6</v>
      </c>
      <c r="D23" s="659"/>
      <c r="E23" s="659"/>
      <c r="F23" s="659"/>
      <c r="G23" s="660">
        <v>8</v>
      </c>
      <c r="H23" s="813" t="s">
        <v>711</v>
      </c>
      <c r="I23" s="814"/>
      <c r="J23" s="814"/>
      <c r="K23" s="814"/>
      <c r="L23" s="815"/>
      <c r="M23" s="662"/>
      <c r="N23" s="663"/>
      <c r="O23" s="664"/>
      <c r="P23" s="816" t="s">
        <v>669</v>
      </c>
      <c r="Q23" s="817"/>
      <c r="R23" s="818"/>
      <c r="S23" s="665">
        <v>2</v>
      </c>
      <c r="T23" s="665">
        <v>400</v>
      </c>
      <c r="U23" s="666"/>
      <c r="V23" s="666"/>
      <c r="W23" s="667"/>
      <c r="X23" s="667"/>
      <c r="Y23" s="668"/>
      <c r="Z23" s="666">
        <f t="shared" ref="Z23:AA23" si="89">Z9</f>
        <v>1.67</v>
      </c>
      <c r="AA23" s="666">
        <f t="shared" si="89"/>
        <v>1.9050000000000011</v>
      </c>
      <c r="AB23" s="668"/>
      <c r="AC23" s="668"/>
      <c r="AD23" s="295">
        <f t="shared" si="85"/>
        <v>14.300000000000004</v>
      </c>
      <c r="AE23" s="295">
        <f t="shared" si="82"/>
        <v>12.329593087668485</v>
      </c>
    </row>
    <row r="24" spans="1:36">
      <c r="A24" s="659">
        <f>A11</f>
        <v>3</v>
      </c>
      <c r="B24" s="659" t="str">
        <f>B11</f>
        <v>+</v>
      </c>
      <c r="C24" s="661">
        <f>C11</f>
        <v>3</v>
      </c>
      <c r="D24" s="659"/>
      <c r="E24" s="659"/>
      <c r="F24" s="659"/>
      <c r="G24" s="660">
        <v>7</v>
      </c>
      <c r="H24" s="813" t="s">
        <v>711</v>
      </c>
      <c r="I24" s="814"/>
      <c r="J24" s="814"/>
      <c r="K24" s="814"/>
      <c r="L24" s="815"/>
      <c r="M24" s="662"/>
      <c r="N24" s="663"/>
      <c r="O24" s="664"/>
      <c r="P24" s="816" t="s">
        <v>669</v>
      </c>
      <c r="Q24" s="817"/>
      <c r="R24" s="818"/>
      <c r="S24" s="665">
        <v>2</v>
      </c>
      <c r="T24" s="665">
        <v>400</v>
      </c>
      <c r="U24" s="666"/>
      <c r="V24" s="666"/>
      <c r="W24" s="667"/>
      <c r="X24" s="667"/>
      <c r="Y24" s="668"/>
      <c r="Z24" s="666">
        <f t="shared" ref="Z24:AA24" si="90">Z10</f>
        <v>1.9050000000000011</v>
      </c>
      <c r="AA24" s="666">
        <f t="shared" si="90"/>
        <v>1.9189999999999987</v>
      </c>
      <c r="AB24" s="668"/>
      <c r="AC24" s="668"/>
      <c r="AD24" s="295">
        <f t="shared" si="85"/>
        <v>13.384</v>
      </c>
      <c r="AE24" s="295">
        <f t="shared" si="82"/>
        <v>11.659893951709922</v>
      </c>
    </row>
    <row r="25" spans="1:36">
      <c r="A25" s="659">
        <f t="shared" ref="A25:C25" si="91">A12</f>
        <v>0</v>
      </c>
      <c r="B25" s="659" t="str">
        <f t="shared" si="91"/>
        <v>+</v>
      </c>
      <c r="C25" s="661">
        <f t="shared" si="91"/>
        <v>6</v>
      </c>
      <c r="D25" s="659"/>
      <c r="E25" s="659"/>
      <c r="F25" s="659"/>
      <c r="G25" s="660">
        <v>8</v>
      </c>
      <c r="H25" s="819" t="s">
        <v>712</v>
      </c>
      <c r="I25" s="819"/>
      <c r="J25" s="819"/>
      <c r="K25" s="819"/>
      <c r="L25" s="819"/>
      <c r="M25" s="662"/>
      <c r="N25" s="663"/>
      <c r="O25" s="664"/>
      <c r="P25" s="816" t="s">
        <v>669</v>
      </c>
      <c r="Q25" s="817"/>
      <c r="R25" s="818"/>
      <c r="S25" s="665">
        <v>2</v>
      </c>
      <c r="T25" s="665">
        <v>400</v>
      </c>
      <c r="U25" s="666"/>
      <c r="V25" s="666"/>
      <c r="W25" s="667"/>
      <c r="X25" s="667"/>
      <c r="Y25" s="668"/>
      <c r="Z25" s="666">
        <f t="shared" ref="Z25:AA25" si="92">Z11</f>
        <v>1.9189999999999987</v>
      </c>
      <c r="AA25" s="666">
        <f t="shared" si="92"/>
        <v>1.9339999999999993</v>
      </c>
      <c r="AB25" s="668"/>
      <c r="AC25" s="668"/>
      <c r="AD25" s="295">
        <f t="shared" ref="AD25" si="93">(G25*(Z25+AA25)/2*IF(T25=300,0.85,IF(T25=400,1,IF(T25=500,1.15,IF(T25=600,1.35,IF(T25=800,1.65,IF(T25=1000,2,IF(T25=1200,2.3,IF(T25=1500,2.85)))))))))</f>
        <v>15.411999999999992</v>
      </c>
      <c r="AE25" s="295">
        <f t="shared" si="82"/>
        <v>13.441593087668473</v>
      </c>
    </row>
    <row r="26" spans="1:36">
      <c r="A26" s="659">
        <f t="shared" ref="A26:C26" si="94">A13</f>
        <v>6</v>
      </c>
      <c r="B26" s="659" t="str">
        <f t="shared" si="94"/>
        <v>+</v>
      </c>
      <c r="C26" s="661">
        <f t="shared" si="94"/>
        <v>10</v>
      </c>
      <c r="D26" s="659"/>
      <c r="E26" s="659"/>
      <c r="F26" s="659"/>
      <c r="G26" s="660">
        <v>7</v>
      </c>
      <c r="H26" s="819" t="s">
        <v>712</v>
      </c>
      <c r="I26" s="819"/>
      <c r="J26" s="819"/>
      <c r="K26" s="819"/>
      <c r="L26" s="819"/>
      <c r="M26" s="662"/>
      <c r="N26" s="663"/>
      <c r="O26" s="664"/>
      <c r="P26" s="816" t="s">
        <v>669</v>
      </c>
      <c r="Q26" s="817"/>
      <c r="R26" s="818"/>
      <c r="S26" s="665">
        <v>2</v>
      </c>
      <c r="T26" s="665">
        <v>400</v>
      </c>
      <c r="U26" s="666"/>
      <c r="V26" s="666"/>
      <c r="W26" s="667"/>
      <c r="X26" s="667"/>
      <c r="Y26" s="668"/>
      <c r="Z26" s="666">
        <f t="shared" ref="Z26:AA26" si="95">Z12</f>
        <v>1.9339999999999993</v>
      </c>
      <c r="AA26" s="666">
        <f t="shared" si="95"/>
        <v>2.7100000000000009</v>
      </c>
      <c r="AB26" s="668"/>
      <c r="AC26" s="668"/>
      <c r="AD26" s="295">
        <f t="shared" ref="AD26:AD27" si="96">(G26*(Z26+AA26)/2*IF(T26=300,0.85,IF(T26=400,1,IF(T26=500,1.15,IF(T26=600,1.35,IF(T26=800,1.65,IF(T26=1000,2,IF(T26=1200,2.3,IF(T26=1500,2.85)))))))))</f>
        <v>16.254000000000001</v>
      </c>
      <c r="AE26" s="295">
        <f t="shared" si="82"/>
        <v>14.529893951709923</v>
      </c>
    </row>
    <row r="27" spans="1:36">
      <c r="A27" s="659">
        <f t="shared" ref="A27:C27" si="97">A14</f>
        <v>0</v>
      </c>
      <c r="B27" s="659" t="str">
        <f t="shared" si="97"/>
        <v>+</v>
      </c>
      <c r="C27" s="661">
        <f t="shared" si="97"/>
        <v>15</v>
      </c>
      <c r="D27" s="659"/>
      <c r="E27" s="659"/>
      <c r="F27" s="659"/>
      <c r="G27" s="660">
        <v>8</v>
      </c>
      <c r="H27" s="819" t="s">
        <v>713</v>
      </c>
      <c r="I27" s="819"/>
      <c r="J27" s="819"/>
      <c r="K27" s="819"/>
      <c r="L27" s="819"/>
      <c r="M27" s="662"/>
      <c r="N27" s="663"/>
      <c r="O27" s="664"/>
      <c r="P27" s="816" t="s">
        <v>669</v>
      </c>
      <c r="Q27" s="817"/>
      <c r="R27" s="818"/>
      <c r="S27" s="665">
        <v>2</v>
      </c>
      <c r="T27" s="665">
        <v>400</v>
      </c>
      <c r="U27" s="666"/>
      <c r="V27" s="666"/>
      <c r="W27" s="667"/>
      <c r="X27" s="667"/>
      <c r="Y27" s="668"/>
      <c r="Z27" s="666">
        <f t="shared" ref="Z27:AA27" si="98">Z13</f>
        <v>2.7100000000000009</v>
      </c>
      <c r="AA27" s="666">
        <f t="shared" si="98"/>
        <v>2.7880000000000003</v>
      </c>
      <c r="AB27" s="668"/>
      <c r="AC27" s="668"/>
      <c r="AD27" s="295">
        <f t="shared" si="96"/>
        <v>21.992000000000004</v>
      </c>
      <c r="AE27" s="295">
        <f t="shared" si="82"/>
        <v>20.021593087668485</v>
      </c>
    </row>
    <row r="28" spans="1:36">
      <c r="A28" s="659">
        <f t="shared" ref="A28:C28" si="99">A15</f>
        <v>3</v>
      </c>
      <c r="B28" s="659" t="str">
        <f t="shared" si="99"/>
        <v>+</v>
      </c>
      <c r="C28" s="661">
        <f t="shared" si="99"/>
        <v>2</v>
      </c>
      <c r="D28" s="659"/>
      <c r="E28" s="659"/>
      <c r="F28" s="659"/>
      <c r="G28" s="660">
        <v>7</v>
      </c>
      <c r="H28" s="819" t="s">
        <v>713</v>
      </c>
      <c r="I28" s="819"/>
      <c r="J28" s="819"/>
      <c r="K28" s="819"/>
      <c r="L28" s="819"/>
      <c r="M28" s="662"/>
      <c r="N28" s="663"/>
      <c r="O28" s="664"/>
      <c r="P28" s="816" t="s">
        <v>669</v>
      </c>
      <c r="Q28" s="817"/>
      <c r="R28" s="818"/>
      <c r="S28" s="665">
        <v>2</v>
      </c>
      <c r="T28" s="665">
        <v>400</v>
      </c>
      <c r="U28" s="666"/>
      <c r="V28" s="666"/>
      <c r="W28" s="667"/>
      <c r="X28" s="667"/>
      <c r="Y28" s="668"/>
      <c r="Z28" s="666">
        <f t="shared" ref="Z28:AA28" si="100">Z14</f>
        <v>2.7880000000000003</v>
      </c>
      <c r="AA28" s="666">
        <f t="shared" si="100"/>
        <v>2.9399999999999995</v>
      </c>
      <c r="AB28" s="668"/>
      <c r="AC28" s="668"/>
      <c r="AD28" s="295">
        <f t="shared" ref="AD28" si="101">(G28*(Z28+AA28)/2*IF(T28=300,0.85,IF(T28=400,1,IF(T28=500,1.15,IF(T28=600,1.35,IF(T28=800,1.65,IF(T28=1000,2,IF(T28=1200,2.3,IF(T28=1500,2.85)))))))))</f>
        <v>20.047999999999998</v>
      </c>
      <c r="AE28" s="295">
        <f t="shared" si="82"/>
        <v>18.32389395170992</v>
      </c>
    </row>
    <row r="29" spans="1:36">
      <c r="A29" s="659">
        <f t="shared" ref="A29:C30" si="102">A16</f>
        <v>4</v>
      </c>
      <c r="B29" s="659" t="str">
        <f t="shared" si="102"/>
        <v>+</v>
      </c>
      <c r="C29" s="661">
        <f t="shared" si="102"/>
        <v>12</v>
      </c>
      <c r="D29" s="659"/>
      <c r="E29" s="659"/>
      <c r="F29" s="659"/>
      <c r="G29" s="660" t="s">
        <v>47</v>
      </c>
      <c r="H29" s="813" t="s">
        <v>713</v>
      </c>
      <c r="I29" s="814"/>
      <c r="J29" s="814"/>
      <c r="K29" s="814"/>
      <c r="L29" s="815"/>
      <c r="M29" s="662"/>
      <c r="N29" s="663"/>
      <c r="O29" s="664"/>
      <c r="P29" s="816" t="s">
        <v>669</v>
      </c>
      <c r="Q29" s="817"/>
      <c r="R29" s="818"/>
      <c r="S29" s="665">
        <v>1</v>
      </c>
      <c r="T29" s="665"/>
      <c r="U29" s="666"/>
      <c r="V29" s="666"/>
      <c r="W29" s="667"/>
      <c r="X29" s="667"/>
      <c r="Y29" s="668"/>
      <c r="Z29" s="666"/>
      <c r="AA29" s="666"/>
      <c r="AB29" s="668"/>
      <c r="AC29" s="668"/>
      <c r="AD29" s="295"/>
      <c r="AE29" s="295"/>
    </row>
    <row r="30" spans="1:36">
      <c r="A30" s="823" t="str">
        <f t="shared" si="102"/>
        <v>CL-01</v>
      </c>
      <c r="B30" s="824"/>
      <c r="C30" s="825"/>
      <c r="D30" s="659"/>
      <c r="E30" s="659"/>
      <c r="F30" s="659"/>
      <c r="G30" s="661" t="s">
        <v>47</v>
      </c>
      <c r="H30" s="813" t="s">
        <v>713</v>
      </c>
      <c r="I30" s="814"/>
      <c r="J30" s="814"/>
      <c r="K30" s="814"/>
      <c r="L30" s="815"/>
      <c r="M30" s="662"/>
      <c r="N30" s="663"/>
      <c r="O30" s="664"/>
      <c r="P30" s="816" t="s">
        <v>669</v>
      </c>
      <c r="Q30" s="817"/>
      <c r="R30" s="818"/>
      <c r="S30" s="665">
        <v>1</v>
      </c>
      <c r="T30" s="665"/>
      <c r="U30" s="666"/>
      <c r="V30" s="666"/>
      <c r="W30" s="667"/>
      <c r="X30" s="667"/>
      <c r="Y30" s="668"/>
      <c r="Z30" s="666"/>
      <c r="AA30" s="666"/>
      <c r="AB30" s="668"/>
      <c r="AC30" s="668"/>
      <c r="AD30" s="295"/>
      <c r="AE30" s="295"/>
    </row>
    <row r="31" spans="1:36">
      <c r="A31" s="327"/>
      <c r="B31" s="327"/>
      <c r="C31" s="327"/>
      <c r="D31" s="327"/>
      <c r="E31" s="327"/>
      <c r="F31" s="327"/>
      <c r="G31" s="339"/>
      <c r="H31" s="326"/>
      <c r="I31" s="326"/>
      <c r="J31" s="326"/>
      <c r="K31" s="326"/>
      <c r="L31" s="328"/>
      <c r="M31" s="330"/>
      <c r="N31" s="331"/>
      <c r="O31" s="332"/>
      <c r="P31" s="333"/>
      <c r="Q31" s="333"/>
      <c r="R31" s="333"/>
      <c r="S31" s="334"/>
      <c r="T31" s="334"/>
      <c r="U31" s="335"/>
      <c r="V31" s="335"/>
      <c r="W31" s="336"/>
      <c r="X31" s="336"/>
      <c r="Y31" s="337"/>
      <c r="Z31" s="335"/>
      <c r="AA31" s="335"/>
      <c r="AB31" s="337"/>
      <c r="AC31" s="337"/>
      <c r="AD31" s="338"/>
      <c r="AE31" s="338"/>
    </row>
    <row r="32" spans="1:36">
      <c r="H32" s="826" t="s">
        <v>328</v>
      </c>
      <c r="I32" s="826"/>
      <c r="J32" s="362" t="s">
        <v>329</v>
      </c>
      <c r="K32" s="37" t="s">
        <v>330</v>
      </c>
    </row>
    <row r="33" spans="8:11">
      <c r="H33" s="827" t="s">
        <v>669</v>
      </c>
      <c r="I33" s="828"/>
      <c r="J33" s="329">
        <f>SUM(S20:S30)</f>
        <v>20</v>
      </c>
      <c r="K33" s="37" t="s">
        <v>13</v>
      </c>
    </row>
    <row r="34" spans="8:11">
      <c r="H34" s="298" t="s">
        <v>331</v>
      </c>
      <c r="I34" s="369">
        <v>400</v>
      </c>
      <c r="J34" s="299">
        <f>SUMIF(T:T,400,G:G)</f>
        <v>69</v>
      </c>
      <c r="K34" s="362" t="s">
        <v>15</v>
      </c>
    </row>
    <row r="35" spans="8:11">
      <c r="H35" s="298" t="s">
        <v>331</v>
      </c>
      <c r="I35" s="369">
        <v>600</v>
      </c>
      <c r="J35" s="299">
        <f>SUMIF(T:T,600,G:G)</f>
        <v>78</v>
      </c>
      <c r="K35" s="590" t="s">
        <v>15</v>
      </c>
    </row>
    <row r="36" spans="8:11">
      <c r="H36" s="298" t="s">
        <v>331</v>
      </c>
      <c r="I36" s="369">
        <v>800</v>
      </c>
      <c r="J36" s="299">
        <f>SUMIF(T:T,800,G:G)</f>
        <v>269</v>
      </c>
      <c r="K36" s="590" t="s">
        <v>15</v>
      </c>
    </row>
    <row r="37" spans="8:11">
      <c r="H37" s="298" t="s">
        <v>331</v>
      </c>
      <c r="I37" s="369">
        <v>1000</v>
      </c>
      <c r="J37" s="299">
        <f>SUMIF(T:T,1000,G:G)</f>
        <v>114</v>
      </c>
      <c r="K37" s="633" t="s">
        <v>15</v>
      </c>
    </row>
    <row r="38" spans="8:11">
      <c r="H38" s="826" t="s">
        <v>332</v>
      </c>
      <c r="I38" s="826"/>
      <c r="J38" s="299">
        <f>TRUNC(SUM(AD6:AD31),2)</f>
        <v>2019.64</v>
      </c>
      <c r="K38" s="362" t="s">
        <v>14</v>
      </c>
    </row>
    <row r="39" spans="8:11">
      <c r="H39" s="826" t="s">
        <v>333</v>
      </c>
      <c r="I39" s="826"/>
      <c r="J39" s="299">
        <f>TRUNC(SUM(AE6:AE31),2)</f>
        <v>1627.05</v>
      </c>
      <c r="K39" s="362" t="s">
        <v>14</v>
      </c>
    </row>
  </sheetData>
  <sheetProtection selectLockedCells="1"/>
  <mergeCells count="59">
    <mergeCell ref="A30:C30"/>
    <mergeCell ref="H27:L27"/>
    <mergeCell ref="P27:R27"/>
    <mergeCell ref="H38:I38"/>
    <mergeCell ref="H39:I39"/>
    <mergeCell ref="H28:L28"/>
    <mergeCell ref="P28:R28"/>
    <mergeCell ref="H29:L29"/>
    <mergeCell ref="P29:R29"/>
    <mergeCell ref="H30:L30"/>
    <mergeCell ref="P30:R30"/>
    <mergeCell ref="H32:I32"/>
    <mergeCell ref="H33:I33"/>
    <mergeCell ref="Z4:AA4"/>
    <mergeCell ref="AB4:AC4"/>
    <mergeCell ref="AD4:AD5"/>
    <mergeCell ref="P25:R25"/>
    <mergeCell ref="H26:L26"/>
    <mergeCell ref="P26:R26"/>
    <mergeCell ref="K4:K5"/>
    <mergeCell ref="O4:P4"/>
    <mergeCell ref="Q4:R4"/>
    <mergeCell ref="S4:T4"/>
    <mergeCell ref="U4:U5"/>
    <mergeCell ref="H25:L25"/>
    <mergeCell ref="A19:AE19"/>
    <mergeCell ref="A5:C5"/>
    <mergeCell ref="D5:F5"/>
    <mergeCell ref="AE4:AE5"/>
    <mergeCell ref="H24:L24"/>
    <mergeCell ref="P24:R24"/>
    <mergeCell ref="H20:L20"/>
    <mergeCell ref="H21:L21"/>
    <mergeCell ref="H22:L22"/>
    <mergeCell ref="H23:L23"/>
    <mergeCell ref="P22:R22"/>
    <mergeCell ref="P23:R23"/>
    <mergeCell ref="P20:R20"/>
    <mergeCell ref="P21:R21"/>
    <mergeCell ref="G1:AE1"/>
    <mergeCell ref="A1:F3"/>
    <mergeCell ref="AA3:AD3"/>
    <mergeCell ref="G2:N2"/>
    <mergeCell ref="O2:R2"/>
    <mergeCell ref="S2:V2"/>
    <mergeCell ref="W2:AA2"/>
    <mergeCell ref="AB2:AE2"/>
    <mergeCell ref="G3:K3"/>
    <mergeCell ref="D16:F16"/>
    <mergeCell ref="D17:F17"/>
    <mergeCell ref="A17:C17"/>
    <mergeCell ref="V4:W4"/>
    <mergeCell ref="X4:Y4"/>
    <mergeCell ref="A4:F4"/>
    <mergeCell ref="G4:G5"/>
    <mergeCell ref="H4:H5"/>
    <mergeCell ref="I4:I5"/>
    <mergeCell ref="J4:J5"/>
    <mergeCell ref="L4:N4"/>
  </mergeCells>
  <printOptions horizontalCentered="1"/>
  <pageMargins left="0.39370078740157483" right="0.39370078740157483" top="0.78740157480314965" bottom="1.1811023622047245" header="0.51181102362204722" footer="0.51181102362204722"/>
  <pageSetup paperSize="9" scale="62" orientation="landscape" r:id="rId1"/>
  <headerFooter alignWithMargins="0">
    <oddFooter>&amp;CEng° Darcio Pagani Vieira
Crea/SC - 077.222-9</oddFooter>
  </headerFooter>
  <ignoredErrors>
    <ignoredError sqref="A10:B10 B6 Q6:S6 A7:C7 Q7:R7 B8 Q8:S8 A9:B9 Q9:S9 Q10:S10 Z7:AD7 Z8:AD8 Z9:AD9 Z10:AD10 Z6:AD6 U8 U9 U10 AD20:AD27 AD28 R11 E11 E12 U7 E6 G6 E7 G7 E8:E9 E10 C9:D9 AD11:AD17 S7 U6 R12:R17 A11:C16 G12 G9:G11 G13:G16 H9 I11:N11 H7 I12:N12 I7:O7 I8:O8 I9:O9 I10:O10 I6:N6 H6 O6 H11 H10 H8 H13:O17 H12 O12 O11" unlockedFormula="1"/>
    <ignoredError sqref="X8:X15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Q74"/>
  <sheetViews>
    <sheetView showGridLines="0" view="pageBreakPreview" zoomScale="130" zoomScaleSheetLayoutView="130" workbookViewId="0">
      <pane ySplit="3" topLeftCell="A4" activePane="bottomLeft" state="frozen"/>
      <selection activeCell="D21" sqref="D21"/>
      <selection pane="bottomLeft" activeCell="D21" sqref="D21"/>
    </sheetView>
  </sheetViews>
  <sheetFormatPr defaultRowHeight="13.8"/>
  <cols>
    <col min="1" max="1" width="2.6640625" style="34" customWidth="1"/>
    <col min="2" max="2" width="1.5546875" style="34" bestFit="1" customWidth="1"/>
    <col min="3" max="3" width="4.33203125" style="34" bestFit="1" customWidth="1"/>
    <col min="4" max="4" width="2.44140625" style="34" bestFit="1" customWidth="1"/>
    <col min="5" max="5" width="1.5546875" style="34" bestFit="1" customWidth="1"/>
    <col min="6" max="6" width="4.33203125" style="34" bestFit="1" customWidth="1"/>
    <col min="7" max="7" width="35.109375" style="34" bestFit="1" customWidth="1"/>
    <col min="8" max="8" width="7.88671875" style="34" customWidth="1"/>
    <col min="9" max="9" width="13.33203125" style="34" customWidth="1"/>
    <col min="10" max="10" width="7.6640625" style="34" bestFit="1" customWidth="1"/>
    <col min="11" max="11" width="7.6640625" style="34" customWidth="1"/>
    <col min="12" max="12" width="9.5546875" style="34" bestFit="1" customWidth="1"/>
    <col min="13" max="13" width="17.5546875" style="34" customWidth="1"/>
    <col min="14" max="14" width="9.109375" style="34"/>
    <col min="15" max="15" width="3" style="34" bestFit="1" customWidth="1"/>
    <col min="16" max="16" width="1.88671875" style="34" bestFit="1" customWidth="1"/>
    <col min="17" max="17" width="10.44140625" style="34" bestFit="1" customWidth="1"/>
    <col min="18" max="258" width="9.109375" style="34"/>
    <col min="259" max="264" width="5.5546875" style="34" customWidth="1"/>
    <col min="265" max="265" width="12.6640625" style="34" customWidth="1"/>
    <col min="266" max="266" width="15.44140625" style="34" bestFit="1" customWidth="1"/>
    <col min="267" max="269" width="12.6640625" style="34" customWidth="1"/>
    <col min="270" max="514" width="9.109375" style="34"/>
    <col min="515" max="520" width="5.5546875" style="34" customWidth="1"/>
    <col min="521" max="521" width="12.6640625" style="34" customWidth="1"/>
    <col min="522" max="522" width="15.44140625" style="34" bestFit="1" customWidth="1"/>
    <col min="523" max="525" width="12.6640625" style="34" customWidth="1"/>
    <col min="526" max="770" width="9.109375" style="34"/>
    <col min="771" max="776" width="5.5546875" style="34" customWidth="1"/>
    <col min="777" max="777" width="12.6640625" style="34" customWidth="1"/>
    <col min="778" max="778" width="15.44140625" style="34" bestFit="1" customWidth="1"/>
    <col min="779" max="781" width="12.6640625" style="34" customWidth="1"/>
    <col min="782" max="1026" width="9.109375" style="34"/>
    <col min="1027" max="1032" width="5.5546875" style="34" customWidth="1"/>
    <col min="1033" max="1033" width="12.6640625" style="34" customWidth="1"/>
    <col min="1034" max="1034" width="15.44140625" style="34" bestFit="1" customWidth="1"/>
    <col min="1035" max="1037" width="12.6640625" style="34" customWidth="1"/>
    <col min="1038" max="1282" width="9.109375" style="34"/>
    <col min="1283" max="1288" width="5.5546875" style="34" customWidth="1"/>
    <col min="1289" max="1289" width="12.6640625" style="34" customWidth="1"/>
    <col min="1290" max="1290" width="15.44140625" style="34" bestFit="1" customWidth="1"/>
    <col min="1291" max="1293" width="12.6640625" style="34" customWidth="1"/>
    <col min="1294" max="1538" width="9.109375" style="34"/>
    <col min="1539" max="1544" width="5.5546875" style="34" customWidth="1"/>
    <col min="1545" max="1545" width="12.6640625" style="34" customWidth="1"/>
    <col min="1546" max="1546" width="15.44140625" style="34" bestFit="1" customWidth="1"/>
    <col min="1547" max="1549" width="12.6640625" style="34" customWidth="1"/>
    <col min="1550" max="1794" width="9.109375" style="34"/>
    <col min="1795" max="1800" width="5.5546875" style="34" customWidth="1"/>
    <col min="1801" max="1801" width="12.6640625" style="34" customWidth="1"/>
    <col min="1802" max="1802" width="15.44140625" style="34" bestFit="1" customWidth="1"/>
    <col min="1803" max="1805" width="12.6640625" style="34" customWidth="1"/>
    <col min="1806" max="2050" width="9.109375" style="34"/>
    <col min="2051" max="2056" width="5.5546875" style="34" customWidth="1"/>
    <col min="2057" max="2057" width="12.6640625" style="34" customWidth="1"/>
    <col min="2058" max="2058" width="15.44140625" style="34" bestFit="1" customWidth="1"/>
    <col min="2059" max="2061" width="12.6640625" style="34" customWidth="1"/>
    <col min="2062" max="2306" width="9.109375" style="34"/>
    <col min="2307" max="2312" width="5.5546875" style="34" customWidth="1"/>
    <col min="2313" max="2313" width="12.6640625" style="34" customWidth="1"/>
    <col min="2314" max="2314" width="15.44140625" style="34" bestFit="1" customWidth="1"/>
    <col min="2315" max="2317" width="12.6640625" style="34" customWidth="1"/>
    <col min="2318" max="2562" width="9.109375" style="34"/>
    <col min="2563" max="2568" width="5.5546875" style="34" customWidth="1"/>
    <col min="2569" max="2569" width="12.6640625" style="34" customWidth="1"/>
    <col min="2570" max="2570" width="15.44140625" style="34" bestFit="1" customWidth="1"/>
    <col min="2571" max="2573" width="12.6640625" style="34" customWidth="1"/>
    <col min="2574" max="2818" width="9.109375" style="34"/>
    <col min="2819" max="2824" width="5.5546875" style="34" customWidth="1"/>
    <col min="2825" max="2825" width="12.6640625" style="34" customWidth="1"/>
    <col min="2826" max="2826" width="15.44140625" style="34" bestFit="1" customWidth="1"/>
    <col min="2827" max="2829" width="12.6640625" style="34" customWidth="1"/>
    <col min="2830" max="3074" width="9.109375" style="34"/>
    <col min="3075" max="3080" width="5.5546875" style="34" customWidth="1"/>
    <col min="3081" max="3081" width="12.6640625" style="34" customWidth="1"/>
    <col min="3082" max="3082" width="15.44140625" style="34" bestFit="1" customWidth="1"/>
    <col min="3083" max="3085" width="12.6640625" style="34" customWidth="1"/>
    <col min="3086" max="3330" width="9.109375" style="34"/>
    <col min="3331" max="3336" width="5.5546875" style="34" customWidth="1"/>
    <col min="3337" max="3337" width="12.6640625" style="34" customWidth="1"/>
    <col min="3338" max="3338" width="15.44140625" style="34" bestFit="1" customWidth="1"/>
    <col min="3339" max="3341" width="12.6640625" style="34" customWidth="1"/>
    <col min="3342" max="3586" width="9.109375" style="34"/>
    <col min="3587" max="3592" width="5.5546875" style="34" customWidth="1"/>
    <col min="3593" max="3593" width="12.6640625" style="34" customWidth="1"/>
    <col min="3594" max="3594" width="15.44140625" style="34" bestFit="1" customWidth="1"/>
    <col min="3595" max="3597" width="12.6640625" style="34" customWidth="1"/>
    <col min="3598" max="3842" width="9.109375" style="34"/>
    <col min="3843" max="3848" width="5.5546875" style="34" customWidth="1"/>
    <col min="3849" max="3849" width="12.6640625" style="34" customWidth="1"/>
    <col min="3850" max="3850" width="15.44140625" style="34" bestFit="1" customWidth="1"/>
    <col min="3851" max="3853" width="12.6640625" style="34" customWidth="1"/>
    <col min="3854" max="4098" width="9.109375" style="34"/>
    <col min="4099" max="4104" width="5.5546875" style="34" customWidth="1"/>
    <col min="4105" max="4105" width="12.6640625" style="34" customWidth="1"/>
    <col min="4106" max="4106" width="15.44140625" style="34" bestFit="1" customWidth="1"/>
    <col min="4107" max="4109" width="12.6640625" style="34" customWidth="1"/>
    <col min="4110" max="4354" width="9.109375" style="34"/>
    <col min="4355" max="4360" width="5.5546875" style="34" customWidth="1"/>
    <col min="4361" max="4361" width="12.6640625" style="34" customWidth="1"/>
    <col min="4362" max="4362" width="15.44140625" style="34" bestFit="1" customWidth="1"/>
    <col min="4363" max="4365" width="12.6640625" style="34" customWidth="1"/>
    <col min="4366" max="4610" width="9.109375" style="34"/>
    <col min="4611" max="4616" width="5.5546875" style="34" customWidth="1"/>
    <col min="4617" max="4617" width="12.6640625" style="34" customWidth="1"/>
    <col min="4618" max="4618" width="15.44140625" style="34" bestFit="1" customWidth="1"/>
    <col min="4619" max="4621" width="12.6640625" style="34" customWidth="1"/>
    <col min="4622" max="4866" width="9.109375" style="34"/>
    <col min="4867" max="4872" width="5.5546875" style="34" customWidth="1"/>
    <col min="4873" max="4873" width="12.6640625" style="34" customWidth="1"/>
    <col min="4874" max="4874" width="15.44140625" style="34" bestFit="1" customWidth="1"/>
    <col min="4875" max="4877" width="12.6640625" style="34" customWidth="1"/>
    <col min="4878" max="5122" width="9.109375" style="34"/>
    <col min="5123" max="5128" width="5.5546875" style="34" customWidth="1"/>
    <col min="5129" max="5129" width="12.6640625" style="34" customWidth="1"/>
    <col min="5130" max="5130" width="15.44140625" style="34" bestFit="1" customWidth="1"/>
    <col min="5131" max="5133" width="12.6640625" style="34" customWidth="1"/>
    <col min="5134" max="5378" width="9.109375" style="34"/>
    <col min="5379" max="5384" width="5.5546875" style="34" customWidth="1"/>
    <col min="5385" max="5385" width="12.6640625" style="34" customWidth="1"/>
    <col min="5386" max="5386" width="15.44140625" style="34" bestFit="1" customWidth="1"/>
    <col min="5387" max="5389" width="12.6640625" style="34" customWidth="1"/>
    <col min="5390" max="5634" width="9.109375" style="34"/>
    <col min="5635" max="5640" width="5.5546875" style="34" customWidth="1"/>
    <col min="5641" max="5641" width="12.6640625" style="34" customWidth="1"/>
    <col min="5642" max="5642" width="15.44140625" style="34" bestFit="1" customWidth="1"/>
    <col min="5643" max="5645" width="12.6640625" style="34" customWidth="1"/>
    <col min="5646" max="5890" width="9.109375" style="34"/>
    <col min="5891" max="5896" width="5.5546875" style="34" customWidth="1"/>
    <col min="5897" max="5897" width="12.6640625" style="34" customWidth="1"/>
    <col min="5898" max="5898" width="15.44140625" style="34" bestFit="1" customWidth="1"/>
    <col min="5899" max="5901" width="12.6640625" style="34" customWidth="1"/>
    <col min="5902" max="6146" width="9.109375" style="34"/>
    <col min="6147" max="6152" width="5.5546875" style="34" customWidth="1"/>
    <col min="6153" max="6153" width="12.6640625" style="34" customWidth="1"/>
    <col min="6154" max="6154" width="15.44140625" style="34" bestFit="1" customWidth="1"/>
    <col min="6155" max="6157" width="12.6640625" style="34" customWidth="1"/>
    <col min="6158" max="6402" width="9.109375" style="34"/>
    <col min="6403" max="6408" width="5.5546875" style="34" customWidth="1"/>
    <col min="6409" max="6409" width="12.6640625" style="34" customWidth="1"/>
    <col min="6410" max="6410" width="15.44140625" style="34" bestFit="1" customWidth="1"/>
    <col min="6411" max="6413" width="12.6640625" style="34" customWidth="1"/>
    <col min="6414" max="6658" width="9.109375" style="34"/>
    <col min="6659" max="6664" width="5.5546875" style="34" customWidth="1"/>
    <col min="6665" max="6665" width="12.6640625" style="34" customWidth="1"/>
    <col min="6666" max="6666" width="15.44140625" style="34" bestFit="1" customWidth="1"/>
    <col min="6667" max="6669" width="12.6640625" style="34" customWidth="1"/>
    <col min="6670" max="6914" width="9.109375" style="34"/>
    <col min="6915" max="6920" width="5.5546875" style="34" customWidth="1"/>
    <col min="6921" max="6921" width="12.6640625" style="34" customWidth="1"/>
    <col min="6922" max="6922" width="15.44140625" style="34" bestFit="1" customWidth="1"/>
    <col min="6923" max="6925" width="12.6640625" style="34" customWidth="1"/>
    <col min="6926" max="7170" width="9.109375" style="34"/>
    <col min="7171" max="7176" width="5.5546875" style="34" customWidth="1"/>
    <col min="7177" max="7177" width="12.6640625" style="34" customWidth="1"/>
    <col min="7178" max="7178" width="15.44140625" style="34" bestFit="1" customWidth="1"/>
    <col min="7179" max="7181" width="12.6640625" style="34" customWidth="1"/>
    <col min="7182" max="7426" width="9.109375" style="34"/>
    <col min="7427" max="7432" width="5.5546875" style="34" customWidth="1"/>
    <col min="7433" max="7433" width="12.6640625" style="34" customWidth="1"/>
    <col min="7434" max="7434" width="15.44140625" style="34" bestFit="1" customWidth="1"/>
    <col min="7435" max="7437" width="12.6640625" style="34" customWidth="1"/>
    <col min="7438" max="7682" width="9.109375" style="34"/>
    <col min="7683" max="7688" width="5.5546875" style="34" customWidth="1"/>
    <col min="7689" max="7689" width="12.6640625" style="34" customWidth="1"/>
    <col min="7690" max="7690" width="15.44140625" style="34" bestFit="1" customWidth="1"/>
    <col min="7691" max="7693" width="12.6640625" style="34" customWidth="1"/>
    <col min="7694" max="7938" width="9.109375" style="34"/>
    <col min="7939" max="7944" width="5.5546875" style="34" customWidth="1"/>
    <col min="7945" max="7945" width="12.6640625" style="34" customWidth="1"/>
    <col min="7946" max="7946" width="15.44140625" style="34" bestFit="1" customWidth="1"/>
    <col min="7947" max="7949" width="12.6640625" style="34" customWidth="1"/>
    <col min="7950" max="8194" width="9.109375" style="34"/>
    <col min="8195" max="8200" width="5.5546875" style="34" customWidth="1"/>
    <col min="8201" max="8201" width="12.6640625" style="34" customWidth="1"/>
    <col min="8202" max="8202" width="15.44140625" style="34" bestFit="1" customWidth="1"/>
    <col min="8203" max="8205" width="12.6640625" style="34" customWidth="1"/>
    <col min="8206" max="8450" width="9.109375" style="34"/>
    <col min="8451" max="8456" width="5.5546875" style="34" customWidth="1"/>
    <col min="8457" max="8457" width="12.6640625" style="34" customWidth="1"/>
    <col min="8458" max="8458" width="15.44140625" style="34" bestFit="1" customWidth="1"/>
    <col min="8459" max="8461" width="12.6640625" style="34" customWidth="1"/>
    <col min="8462" max="8706" width="9.109375" style="34"/>
    <col min="8707" max="8712" width="5.5546875" style="34" customWidth="1"/>
    <col min="8713" max="8713" width="12.6640625" style="34" customWidth="1"/>
    <col min="8714" max="8714" width="15.44140625" style="34" bestFit="1" customWidth="1"/>
    <col min="8715" max="8717" width="12.6640625" style="34" customWidth="1"/>
    <col min="8718" max="8962" width="9.109375" style="34"/>
    <col min="8963" max="8968" width="5.5546875" style="34" customWidth="1"/>
    <col min="8969" max="8969" width="12.6640625" style="34" customWidth="1"/>
    <col min="8970" max="8970" width="15.44140625" style="34" bestFit="1" customWidth="1"/>
    <col min="8971" max="8973" width="12.6640625" style="34" customWidth="1"/>
    <col min="8974" max="9218" width="9.109375" style="34"/>
    <col min="9219" max="9224" width="5.5546875" style="34" customWidth="1"/>
    <col min="9225" max="9225" width="12.6640625" style="34" customWidth="1"/>
    <col min="9226" max="9226" width="15.44140625" style="34" bestFit="1" customWidth="1"/>
    <col min="9227" max="9229" width="12.6640625" style="34" customWidth="1"/>
    <col min="9230" max="9474" width="9.109375" style="34"/>
    <col min="9475" max="9480" width="5.5546875" style="34" customWidth="1"/>
    <col min="9481" max="9481" width="12.6640625" style="34" customWidth="1"/>
    <col min="9482" max="9482" width="15.44140625" style="34" bestFit="1" customWidth="1"/>
    <col min="9483" max="9485" width="12.6640625" style="34" customWidth="1"/>
    <col min="9486" max="9730" width="9.109375" style="34"/>
    <col min="9731" max="9736" width="5.5546875" style="34" customWidth="1"/>
    <col min="9737" max="9737" width="12.6640625" style="34" customWidth="1"/>
    <col min="9738" max="9738" width="15.44140625" style="34" bestFit="1" customWidth="1"/>
    <col min="9739" max="9741" width="12.6640625" style="34" customWidth="1"/>
    <col min="9742" max="9986" width="9.109375" style="34"/>
    <col min="9987" max="9992" width="5.5546875" style="34" customWidth="1"/>
    <col min="9993" max="9993" width="12.6640625" style="34" customWidth="1"/>
    <col min="9994" max="9994" width="15.44140625" style="34" bestFit="1" customWidth="1"/>
    <col min="9995" max="9997" width="12.6640625" style="34" customWidth="1"/>
    <col min="9998" max="10242" width="9.109375" style="34"/>
    <col min="10243" max="10248" width="5.5546875" style="34" customWidth="1"/>
    <col min="10249" max="10249" width="12.6640625" style="34" customWidth="1"/>
    <col min="10250" max="10250" width="15.44140625" style="34" bestFit="1" customWidth="1"/>
    <col min="10251" max="10253" width="12.6640625" style="34" customWidth="1"/>
    <col min="10254" max="10498" width="9.109375" style="34"/>
    <col min="10499" max="10504" width="5.5546875" style="34" customWidth="1"/>
    <col min="10505" max="10505" width="12.6640625" style="34" customWidth="1"/>
    <col min="10506" max="10506" width="15.44140625" style="34" bestFit="1" customWidth="1"/>
    <col min="10507" max="10509" width="12.6640625" style="34" customWidth="1"/>
    <col min="10510" max="10754" width="9.109375" style="34"/>
    <col min="10755" max="10760" width="5.5546875" style="34" customWidth="1"/>
    <col min="10761" max="10761" width="12.6640625" style="34" customWidth="1"/>
    <col min="10762" max="10762" width="15.44140625" style="34" bestFit="1" customWidth="1"/>
    <col min="10763" max="10765" width="12.6640625" style="34" customWidth="1"/>
    <col min="10766" max="11010" width="9.109375" style="34"/>
    <col min="11011" max="11016" width="5.5546875" style="34" customWidth="1"/>
    <col min="11017" max="11017" width="12.6640625" style="34" customWidth="1"/>
    <col min="11018" max="11018" width="15.44140625" style="34" bestFit="1" customWidth="1"/>
    <col min="11019" max="11021" width="12.6640625" style="34" customWidth="1"/>
    <col min="11022" max="11266" width="9.109375" style="34"/>
    <col min="11267" max="11272" width="5.5546875" style="34" customWidth="1"/>
    <col min="11273" max="11273" width="12.6640625" style="34" customWidth="1"/>
    <col min="11274" max="11274" width="15.44140625" style="34" bestFit="1" customWidth="1"/>
    <col min="11275" max="11277" width="12.6640625" style="34" customWidth="1"/>
    <col min="11278" max="11522" width="9.109375" style="34"/>
    <col min="11523" max="11528" width="5.5546875" style="34" customWidth="1"/>
    <col min="11529" max="11529" width="12.6640625" style="34" customWidth="1"/>
    <col min="11530" max="11530" width="15.44140625" style="34" bestFit="1" customWidth="1"/>
    <col min="11531" max="11533" width="12.6640625" style="34" customWidth="1"/>
    <col min="11534" max="11778" width="9.109375" style="34"/>
    <col min="11779" max="11784" width="5.5546875" style="34" customWidth="1"/>
    <col min="11785" max="11785" width="12.6640625" style="34" customWidth="1"/>
    <col min="11786" max="11786" width="15.44140625" style="34" bestFit="1" customWidth="1"/>
    <col min="11787" max="11789" width="12.6640625" style="34" customWidth="1"/>
    <col min="11790" max="12034" width="9.109375" style="34"/>
    <col min="12035" max="12040" width="5.5546875" style="34" customWidth="1"/>
    <col min="12041" max="12041" width="12.6640625" style="34" customWidth="1"/>
    <col min="12042" max="12042" width="15.44140625" style="34" bestFit="1" customWidth="1"/>
    <col min="12043" max="12045" width="12.6640625" style="34" customWidth="1"/>
    <col min="12046" max="12290" width="9.109375" style="34"/>
    <col min="12291" max="12296" width="5.5546875" style="34" customWidth="1"/>
    <col min="12297" max="12297" width="12.6640625" style="34" customWidth="1"/>
    <col min="12298" max="12298" width="15.44140625" style="34" bestFit="1" customWidth="1"/>
    <col min="12299" max="12301" width="12.6640625" style="34" customWidth="1"/>
    <col min="12302" max="12546" width="9.109375" style="34"/>
    <col min="12547" max="12552" width="5.5546875" style="34" customWidth="1"/>
    <col min="12553" max="12553" width="12.6640625" style="34" customWidth="1"/>
    <col min="12554" max="12554" width="15.44140625" style="34" bestFit="1" customWidth="1"/>
    <col min="12555" max="12557" width="12.6640625" style="34" customWidth="1"/>
    <col min="12558" max="12802" width="9.109375" style="34"/>
    <col min="12803" max="12808" width="5.5546875" style="34" customWidth="1"/>
    <col min="12809" max="12809" width="12.6640625" style="34" customWidth="1"/>
    <col min="12810" max="12810" width="15.44140625" style="34" bestFit="1" customWidth="1"/>
    <col min="12811" max="12813" width="12.6640625" style="34" customWidth="1"/>
    <col min="12814" max="13058" width="9.109375" style="34"/>
    <col min="13059" max="13064" width="5.5546875" style="34" customWidth="1"/>
    <col min="13065" max="13065" width="12.6640625" style="34" customWidth="1"/>
    <col min="13066" max="13066" width="15.44140625" style="34" bestFit="1" customWidth="1"/>
    <col min="13067" max="13069" width="12.6640625" style="34" customWidth="1"/>
    <col min="13070" max="13314" width="9.109375" style="34"/>
    <col min="13315" max="13320" width="5.5546875" style="34" customWidth="1"/>
    <col min="13321" max="13321" width="12.6640625" style="34" customWidth="1"/>
    <col min="13322" max="13322" width="15.44140625" style="34" bestFit="1" customWidth="1"/>
    <col min="13323" max="13325" width="12.6640625" style="34" customWidth="1"/>
    <col min="13326" max="13570" width="9.109375" style="34"/>
    <col min="13571" max="13576" width="5.5546875" style="34" customWidth="1"/>
    <col min="13577" max="13577" width="12.6640625" style="34" customWidth="1"/>
    <col min="13578" max="13578" width="15.44140625" style="34" bestFit="1" customWidth="1"/>
    <col min="13579" max="13581" width="12.6640625" style="34" customWidth="1"/>
    <col min="13582" max="13826" width="9.109375" style="34"/>
    <col min="13827" max="13832" width="5.5546875" style="34" customWidth="1"/>
    <col min="13833" max="13833" width="12.6640625" style="34" customWidth="1"/>
    <col min="13834" max="13834" width="15.44140625" style="34" bestFit="1" customWidth="1"/>
    <col min="13835" max="13837" width="12.6640625" style="34" customWidth="1"/>
    <col min="13838" max="14082" width="9.109375" style="34"/>
    <col min="14083" max="14088" width="5.5546875" style="34" customWidth="1"/>
    <col min="14089" max="14089" width="12.6640625" style="34" customWidth="1"/>
    <col min="14090" max="14090" width="15.44140625" style="34" bestFit="1" customWidth="1"/>
    <col min="14091" max="14093" width="12.6640625" style="34" customWidth="1"/>
    <col min="14094" max="14338" width="9.109375" style="34"/>
    <col min="14339" max="14344" width="5.5546875" style="34" customWidth="1"/>
    <col min="14345" max="14345" width="12.6640625" style="34" customWidth="1"/>
    <col min="14346" max="14346" width="15.44140625" style="34" bestFit="1" customWidth="1"/>
    <col min="14347" max="14349" width="12.6640625" style="34" customWidth="1"/>
    <col min="14350" max="14594" width="9.109375" style="34"/>
    <col min="14595" max="14600" width="5.5546875" style="34" customWidth="1"/>
    <col min="14601" max="14601" width="12.6640625" style="34" customWidth="1"/>
    <col min="14602" max="14602" width="15.44140625" style="34" bestFit="1" customWidth="1"/>
    <col min="14603" max="14605" width="12.6640625" style="34" customWidth="1"/>
    <col min="14606" max="14850" width="9.109375" style="34"/>
    <col min="14851" max="14856" width="5.5546875" style="34" customWidth="1"/>
    <col min="14857" max="14857" width="12.6640625" style="34" customWidth="1"/>
    <col min="14858" max="14858" width="15.44140625" style="34" bestFit="1" customWidth="1"/>
    <col min="14859" max="14861" width="12.6640625" style="34" customWidth="1"/>
    <col min="14862" max="15106" width="9.109375" style="34"/>
    <col min="15107" max="15112" width="5.5546875" style="34" customWidth="1"/>
    <col min="15113" max="15113" width="12.6640625" style="34" customWidth="1"/>
    <col min="15114" max="15114" width="15.44140625" style="34" bestFit="1" customWidth="1"/>
    <col min="15115" max="15117" width="12.6640625" style="34" customWidth="1"/>
    <col min="15118" max="15362" width="9.109375" style="34"/>
    <col min="15363" max="15368" width="5.5546875" style="34" customWidth="1"/>
    <col min="15369" max="15369" width="12.6640625" style="34" customWidth="1"/>
    <col min="15370" max="15370" width="15.44140625" style="34" bestFit="1" customWidth="1"/>
    <col min="15371" max="15373" width="12.6640625" style="34" customWidth="1"/>
    <col min="15374" max="15618" width="9.109375" style="34"/>
    <col min="15619" max="15624" width="5.5546875" style="34" customWidth="1"/>
    <col min="15625" max="15625" width="12.6640625" style="34" customWidth="1"/>
    <col min="15626" max="15626" width="15.44140625" style="34" bestFit="1" customWidth="1"/>
    <col min="15627" max="15629" width="12.6640625" style="34" customWidth="1"/>
    <col min="15630" max="15874" width="9.109375" style="34"/>
    <col min="15875" max="15880" width="5.5546875" style="34" customWidth="1"/>
    <col min="15881" max="15881" width="12.6640625" style="34" customWidth="1"/>
    <col min="15882" max="15882" width="15.44140625" style="34" bestFit="1" customWidth="1"/>
    <col min="15883" max="15885" width="12.6640625" style="34" customWidth="1"/>
    <col min="15886" max="16130" width="9.109375" style="34"/>
    <col min="16131" max="16136" width="5.5546875" style="34" customWidth="1"/>
    <col min="16137" max="16137" width="12.6640625" style="34" customWidth="1"/>
    <col min="16138" max="16138" width="15.44140625" style="34" bestFit="1" customWidth="1"/>
    <col min="16139" max="16141" width="12.6640625" style="34" customWidth="1"/>
    <col min="16142" max="16384" width="9.109375" style="34"/>
  </cols>
  <sheetData>
    <row r="1" spans="1:17" ht="36.75" customHeight="1">
      <c r="A1" s="829">
        <f>ORÇAMENTO!B8</f>
        <v>0</v>
      </c>
      <c r="B1" s="829"/>
      <c r="C1" s="829"/>
      <c r="D1" s="829"/>
      <c r="E1" s="829"/>
      <c r="F1" s="829"/>
      <c r="G1" s="752" t="s">
        <v>520</v>
      </c>
      <c r="H1" s="752"/>
      <c r="I1" s="752"/>
      <c r="J1" s="752"/>
      <c r="K1" s="752"/>
      <c r="L1" s="752"/>
      <c r="M1" s="752"/>
    </row>
    <row r="2" spans="1:17" ht="12.75" customHeight="1">
      <c r="A2" s="829"/>
      <c r="B2" s="829"/>
      <c r="C2" s="829"/>
      <c r="D2" s="829"/>
      <c r="E2" s="829"/>
      <c r="F2" s="829"/>
      <c r="G2" s="831" t="s">
        <v>16</v>
      </c>
      <c r="H2" s="831"/>
      <c r="I2" s="829" t="s">
        <v>707</v>
      </c>
      <c r="J2" s="829"/>
      <c r="K2" s="830" t="s">
        <v>134</v>
      </c>
      <c r="L2" s="830"/>
      <c r="M2" s="591" t="s">
        <v>390</v>
      </c>
    </row>
    <row r="3" spans="1:17" ht="12" customHeight="1">
      <c r="A3" s="829"/>
      <c r="B3" s="829"/>
      <c r="C3" s="829"/>
      <c r="D3" s="829"/>
      <c r="E3" s="829"/>
      <c r="F3" s="829"/>
      <c r="G3" s="829" t="s">
        <v>706</v>
      </c>
      <c r="H3" s="829"/>
      <c r="I3" s="829"/>
      <c r="J3" s="829"/>
      <c r="K3" s="829"/>
      <c r="L3" s="829"/>
      <c r="M3" s="376" t="str">
        <f ca="1">CONCATENATE("DATA:"," ",TEXT(TODAY(),"DD/MM/AA"))</f>
        <v>DATA: 15/10/24</v>
      </c>
    </row>
    <row r="4" spans="1:17" ht="12" customHeight="1">
      <c r="A4" s="377"/>
      <c r="B4" s="73"/>
      <c r="C4" s="73"/>
      <c r="D4" s="73"/>
      <c r="E4" s="73"/>
      <c r="F4" s="73"/>
      <c r="G4" s="73"/>
      <c r="H4" s="73"/>
      <c r="I4" s="73"/>
      <c r="J4" s="35"/>
      <c r="K4" s="35"/>
      <c r="L4" s="35"/>
      <c r="M4" s="378"/>
    </row>
    <row r="5" spans="1:17" ht="12" customHeight="1">
      <c r="A5" s="835" t="s">
        <v>140</v>
      </c>
      <c r="B5" s="835"/>
      <c r="C5" s="835"/>
      <c r="D5" s="835"/>
      <c r="E5" s="835"/>
      <c r="F5" s="835"/>
      <c r="G5" s="835"/>
      <c r="H5" s="835"/>
      <c r="I5" s="835"/>
      <c r="J5" s="835"/>
      <c r="K5" s="835"/>
      <c r="L5" s="835"/>
      <c r="M5" s="835"/>
      <c r="O5" s="263"/>
      <c r="P5" s="262"/>
      <c r="Q5" s="262"/>
    </row>
    <row r="6" spans="1:17" ht="12" customHeight="1">
      <c r="A6" s="835" t="s">
        <v>55</v>
      </c>
      <c r="B6" s="835"/>
      <c r="C6" s="835"/>
      <c r="D6" s="835" t="s">
        <v>56</v>
      </c>
      <c r="E6" s="835"/>
      <c r="F6" s="835"/>
      <c r="G6" s="363" t="s">
        <v>383</v>
      </c>
      <c r="H6" s="363" t="s">
        <v>428</v>
      </c>
      <c r="I6" s="363" t="s">
        <v>58</v>
      </c>
      <c r="J6" s="363" t="s">
        <v>54</v>
      </c>
      <c r="K6" s="363" t="s">
        <v>400</v>
      </c>
      <c r="L6" s="363" t="s">
        <v>141</v>
      </c>
      <c r="M6" s="363" t="s">
        <v>145</v>
      </c>
      <c r="N6" s="262"/>
      <c r="O6" s="262"/>
      <c r="P6" s="262"/>
      <c r="Q6" s="262"/>
    </row>
    <row r="7" spans="1:17" s="36" customFormat="1" ht="12" customHeight="1">
      <c r="A7" s="329">
        <v>0</v>
      </c>
      <c r="B7" s="329" t="s">
        <v>57</v>
      </c>
      <c r="C7" s="362">
        <v>0</v>
      </c>
      <c r="D7" s="329">
        <v>4</v>
      </c>
      <c r="E7" s="329" t="s">
        <v>57</v>
      </c>
      <c r="F7" s="362">
        <v>17</v>
      </c>
      <c r="G7" s="362" t="s">
        <v>710</v>
      </c>
      <c r="H7" s="362" t="s">
        <v>59</v>
      </c>
      <c r="I7" s="87">
        <f t="shared" ref="I7:I10" si="0">(D7*20+F7)-(A7*20+C7)</f>
        <v>97</v>
      </c>
      <c r="J7" s="362">
        <v>8</v>
      </c>
      <c r="K7" s="87">
        <f>TRUNC(I7*J7,2)</f>
        <v>776</v>
      </c>
      <c r="L7" s="362" t="s">
        <v>47</v>
      </c>
      <c r="M7" s="299">
        <f>K7</f>
        <v>776</v>
      </c>
      <c r="N7" s="264"/>
      <c r="O7" s="264"/>
      <c r="P7" s="264"/>
      <c r="Q7" s="264"/>
    </row>
    <row r="8" spans="1:17" s="36" customFormat="1" ht="12" customHeight="1">
      <c r="A8" s="329">
        <v>0</v>
      </c>
      <c r="B8" s="329" t="str">
        <f t="shared" ref="B8" si="1">E7</f>
        <v>+</v>
      </c>
      <c r="C8" s="635">
        <v>0</v>
      </c>
      <c r="D8" s="329">
        <v>8</v>
      </c>
      <c r="E8" s="329" t="s">
        <v>57</v>
      </c>
      <c r="F8" s="635">
        <v>0</v>
      </c>
      <c r="G8" s="635" t="s">
        <v>711</v>
      </c>
      <c r="H8" s="635" t="s">
        <v>59</v>
      </c>
      <c r="I8" s="87">
        <f t="shared" ref="I8" si="2">(D8*20+F8)-(A8*20+C8)</f>
        <v>160</v>
      </c>
      <c r="J8" s="635">
        <v>7</v>
      </c>
      <c r="K8" s="87">
        <f t="shared" ref="K8:K10" si="3">TRUNC(I8*J8,2)</f>
        <v>1120</v>
      </c>
      <c r="L8" s="635" t="s">
        <v>47</v>
      </c>
      <c r="M8" s="299">
        <f t="shared" ref="M8:M10" si="4">K8</f>
        <v>1120</v>
      </c>
      <c r="N8" s="264"/>
      <c r="O8" s="264"/>
      <c r="P8" s="264"/>
      <c r="Q8" s="264"/>
    </row>
    <row r="9" spans="1:17" s="36" customFormat="1" ht="12" customHeight="1">
      <c r="A9" s="329">
        <v>0</v>
      </c>
      <c r="B9" s="329" t="s">
        <v>57</v>
      </c>
      <c r="C9" s="560">
        <v>0</v>
      </c>
      <c r="D9" s="329">
        <v>6</v>
      </c>
      <c r="E9" s="329" t="s">
        <v>57</v>
      </c>
      <c r="F9" s="560">
        <v>10</v>
      </c>
      <c r="G9" s="560" t="s">
        <v>712</v>
      </c>
      <c r="H9" s="593" t="s">
        <v>59</v>
      </c>
      <c r="I9" s="87">
        <f t="shared" si="0"/>
        <v>130</v>
      </c>
      <c r="J9" s="560">
        <v>8</v>
      </c>
      <c r="K9" s="87">
        <f t="shared" si="3"/>
        <v>1040</v>
      </c>
      <c r="L9" s="560" t="s">
        <v>47</v>
      </c>
      <c r="M9" s="299">
        <f t="shared" si="4"/>
        <v>1040</v>
      </c>
      <c r="N9" s="264"/>
      <c r="O9" s="264"/>
      <c r="P9" s="264"/>
      <c r="Q9" s="264"/>
    </row>
    <row r="10" spans="1:17" s="36" customFormat="1" ht="12" customHeight="1">
      <c r="A10" s="329">
        <v>0</v>
      </c>
      <c r="B10" s="329" t="str">
        <f t="shared" ref="B10" si="5">E9</f>
        <v>+</v>
      </c>
      <c r="C10" s="635">
        <v>0</v>
      </c>
      <c r="D10" s="329">
        <v>4</v>
      </c>
      <c r="E10" s="329" t="s">
        <v>57</v>
      </c>
      <c r="F10" s="635">
        <v>10</v>
      </c>
      <c r="G10" s="635" t="s">
        <v>713</v>
      </c>
      <c r="H10" s="635" t="s">
        <v>59</v>
      </c>
      <c r="I10" s="87">
        <f t="shared" si="0"/>
        <v>90</v>
      </c>
      <c r="J10" s="635">
        <v>8</v>
      </c>
      <c r="K10" s="87">
        <f t="shared" si="3"/>
        <v>720</v>
      </c>
      <c r="L10" s="635" t="s">
        <v>47</v>
      </c>
      <c r="M10" s="299">
        <f t="shared" si="4"/>
        <v>720</v>
      </c>
      <c r="N10" s="264"/>
      <c r="O10" s="264"/>
      <c r="P10" s="264"/>
      <c r="Q10" s="264"/>
    </row>
    <row r="11" spans="1:17" s="36" customFormat="1" ht="12" customHeight="1">
      <c r="A11" s="833" t="s">
        <v>22</v>
      </c>
      <c r="B11" s="833"/>
      <c r="C11" s="833"/>
      <c r="D11" s="833"/>
      <c r="E11" s="833"/>
      <c r="F11" s="833"/>
      <c r="G11" s="833"/>
      <c r="H11" s="833"/>
      <c r="I11" s="833"/>
      <c r="J11" s="833"/>
      <c r="K11" s="833"/>
      <c r="L11" s="833"/>
      <c r="M11" s="299">
        <f>SUM(M7:M10)</f>
        <v>3656</v>
      </c>
      <c r="N11" s="264"/>
      <c r="O11" s="264"/>
      <c r="P11" s="264"/>
      <c r="Q11" s="264"/>
    </row>
    <row r="12" spans="1:17" ht="12" customHeight="1">
      <c r="A12" s="377"/>
      <c r="B12" s="73"/>
      <c r="C12" s="73"/>
      <c r="D12" s="73"/>
      <c r="E12" s="73"/>
      <c r="F12" s="73"/>
      <c r="G12" s="73"/>
      <c r="H12" s="73"/>
      <c r="I12" s="73"/>
      <c r="J12" s="35"/>
      <c r="K12" s="35"/>
      <c r="L12" s="35"/>
      <c r="M12" s="378"/>
    </row>
    <row r="13" spans="1:17" s="36" customFormat="1" ht="12" customHeight="1">
      <c r="A13" s="835" t="s">
        <v>728</v>
      </c>
      <c r="B13" s="835"/>
      <c r="C13" s="835"/>
      <c r="D13" s="835"/>
      <c r="E13" s="835"/>
      <c r="F13" s="835"/>
      <c r="G13" s="835"/>
      <c r="H13" s="835"/>
      <c r="I13" s="835"/>
      <c r="J13" s="835"/>
      <c r="K13" s="835"/>
      <c r="L13" s="835"/>
      <c r="M13" s="835"/>
    </row>
    <row r="14" spans="1:17" s="36" customFormat="1" ht="12" customHeight="1">
      <c r="A14" s="835" t="s">
        <v>55</v>
      </c>
      <c r="B14" s="835"/>
      <c r="C14" s="835"/>
      <c r="D14" s="835" t="s">
        <v>56</v>
      </c>
      <c r="E14" s="835"/>
      <c r="F14" s="835"/>
      <c r="G14" s="363" t="s">
        <v>383</v>
      </c>
      <c r="H14" s="363" t="s">
        <v>428</v>
      </c>
      <c r="I14" s="363" t="s">
        <v>58</v>
      </c>
      <c r="J14" s="363" t="s">
        <v>54</v>
      </c>
      <c r="K14" s="363" t="s">
        <v>400</v>
      </c>
      <c r="L14" s="363" t="s">
        <v>141</v>
      </c>
      <c r="M14" s="363" t="s">
        <v>144</v>
      </c>
      <c r="Q14" s="372"/>
    </row>
    <row r="15" spans="1:17" s="36" customFormat="1" ht="12" customHeight="1">
      <c r="A15" s="329">
        <f t="shared" ref="A15:H18" si="6">A7</f>
        <v>0</v>
      </c>
      <c r="B15" s="329" t="str">
        <f t="shared" si="6"/>
        <v>+</v>
      </c>
      <c r="C15" s="362">
        <f t="shared" si="6"/>
        <v>0</v>
      </c>
      <c r="D15" s="329">
        <f t="shared" si="6"/>
        <v>4</v>
      </c>
      <c r="E15" s="329" t="str">
        <f t="shared" si="6"/>
        <v>+</v>
      </c>
      <c r="F15" s="362">
        <f t="shared" si="6"/>
        <v>17</v>
      </c>
      <c r="G15" s="362" t="str">
        <f t="shared" si="6"/>
        <v>RUA JOSÉ MARQUES</v>
      </c>
      <c r="H15" s="362" t="str">
        <f t="shared" si="6"/>
        <v>LE/LD</v>
      </c>
      <c r="I15" s="87">
        <f>(D15*20+F15)-(A15*20+C15)</f>
        <v>97</v>
      </c>
      <c r="J15" s="362">
        <f>J7</f>
        <v>8</v>
      </c>
      <c r="K15" s="87">
        <f t="shared" ref="K15:K18" si="7">TRUNC(I15*J15,2)</f>
        <v>776</v>
      </c>
      <c r="L15" s="362">
        <v>0.2</v>
      </c>
      <c r="M15" s="299">
        <f>TRUNC(K15*L15,2)</f>
        <v>155.19999999999999</v>
      </c>
    </row>
    <row r="16" spans="1:17" s="36" customFormat="1" ht="12" customHeight="1">
      <c r="A16" s="329">
        <f t="shared" si="6"/>
        <v>0</v>
      </c>
      <c r="B16" s="329" t="str">
        <f t="shared" si="6"/>
        <v>+</v>
      </c>
      <c r="C16" s="635">
        <f t="shared" si="6"/>
        <v>0</v>
      </c>
      <c r="D16" s="329">
        <f t="shared" si="6"/>
        <v>8</v>
      </c>
      <c r="E16" s="329" t="str">
        <f t="shared" si="6"/>
        <v>+</v>
      </c>
      <c r="F16" s="635">
        <f t="shared" si="6"/>
        <v>0</v>
      </c>
      <c r="G16" s="635" t="str">
        <f t="shared" si="6"/>
        <v>RUA VEREADOR FLÁVIO ROCHA</v>
      </c>
      <c r="H16" s="635" t="str">
        <f t="shared" si="6"/>
        <v>LE/LD</v>
      </c>
      <c r="I16" s="87">
        <f t="shared" ref="I16" si="8">(D16*20+F16)-(A16*20+C16)</f>
        <v>160</v>
      </c>
      <c r="J16" s="635">
        <f>J8</f>
        <v>7</v>
      </c>
      <c r="K16" s="87">
        <f t="shared" si="7"/>
        <v>1120</v>
      </c>
      <c r="L16" s="635">
        <v>0.2</v>
      </c>
      <c r="M16" s="299">
        <f>TRUNC(K16*L16,2)</f>
        <v>224</v>
      </c>
    </row>
    <row r="17" spans="1:13" s="36" customFormat="1" ht="12" customHeight="1">
      <c r="A17" s="329">
        <f t="shared" si="6"/>
        <v>0</v>
      </c>
      <c r="B17" s="329" t="str">
        <f t="shared" si="6"/>
        <v>+</v>
      </c>
      <c r="C17" s="635">
        <f t="shared" si="6"/>
        <v>0</v>
      </c>
      <c r="D17" s="329">
        <f t="shared" si="6"/>
        <v>6</v>
      </c>
      <c r="E17" s="329" t="str">
        <f t="shared" si="6"/>
        <v>+</v>
      </c>
      <c r="F17" s="635">
        <f t="shared" si="6"/>
        <v>10</v>
      </c>
      <c r="G17" s="635" t="str">
        <f t="shared" si="6"/>
        <v>RUA 156</v>
      </c>
      <c r="H17" s="635" t="str">
        <f t="shared" si="6"/>
        <v>LE/LD</v>
      </c>
      <c r="I17" s="87">
        <f>(D17*20+F17)-(A17*20+C17)</f>
        <v>130</v>
      </c>
      <c r="J17" s="593">
        <f>J9</f>
        <v>8</v>
      </c>
      <c r="K17" s="87">
        <f t="shared" si="7"/>
        <v>1040</v>
      </c>
      <c r="L17" s="593">
        <v>0.2</v>
      </c>
      <c r="M17" s="299">
        <f>TRUNC(K17*L17,2)</f>
        <v>208</v>
      </c>
    </row>
    <row r="18" spans="1:13" s="36" customFormat="1" ht="12" customHeight="1">
      <c r="A18" s="329">
        <f t="shared" si="6"/>
        <v>0</v>
      </c>
      <c r="B18" s="329" t="str">
        <f t="shared" si="6"/>
        <v>+</v>
      </c>
      <c r="C18" s="635">
        <f t="shared" si="6"/>
        <v>0</v>
      </c>
      <c r="D18" s="329">
        <f t="shared" si="6"/>
        <v>4</v>
      </c>
      <c r="E18" s="329" t="str">
        <f t="shared" si="6"/>
        <v>+</v>
      </c>
      <c r="F18" s="635">
        <f t="shared" si="6"/>
        <v>10</v>
      </c>
      <c r="G18" s="635" t="str">
        <f t="shared" si="6"/>
        <v>RUA CRICIÚMA</v>
      </c>
      <c r="H18" s="635" t="str">
        <f t="shared" si="6"/>
        <v>LE/LD</v>
      </c>
      <c r="I18" s="87">
        <f t="shared" ref="I18" si="9">(D18*20+F18)-(A18*20+C18)</f>
        <v>90</v>
      </c>
      <c r="J18" s="593">
        <f>J10</f>
        <v>8</v>
      </c>
      <c r="K18" s="87">
        <f t="shared" si="7"/>
        <v>720</v>
      </c>
      <c r="L18" s="593">
        <v>0.2</v>
      </c>
      <c r="M18" s="299">
        <f>TRUNC(K18*L18,2)</f>
        <v>144</v>
      </c>
    </row>
    <row r="19" spans="1:13" s="36" customFormat="1" ht="12" customHeight="1">
      <c r="A19" s="833" t="s">
        <v>22</v>
      </c>
      <c r="B19" s="833"/>
      <c r="C19" s="833"/>
      <c r="D19" s="833"/>
      <c r="E19" s="833"/>
      <c r="F19" s="833"/>
      <c r="G19" s="833"/>
      <c r="H19" s="833"/>
      <c r="I19" s="833"/>
      <c r="J19" s="833"/>
      <c r="K19" s="833"/>
      <c r="L19" s="833"/>
      <c r="M19" s="299">
        <f>SUM(M15:M18)</f>
        <v>731.2</v>
      </c>
    </row>
    <row r="20" spans="1:13" s="36" customFormat="1" ht="12" customHeight="1">
      <c r="A20" s="379"/>
      <c r="B20" s="327"/>
      <c r="C20" s="328"/>
      <c r="D20" s="327"/>
      <c r="E20" s="327"/>
      <c r="F20" s="328"/>
      <c r="G20" s="328"/>
      <c r="H20" s="328"/>
      <c r="I20" s="328"/>
      <c r="J20" s="328"/>
      <c r="K20" s="328"/>
      <c r="L20" s="328"/>
      <c r="M20" s="380"/>
    </row>
    <row r="21" spans="1:13" s="36" customFormat="1" ht="12" customHeight="1">
      <c r="A21" s="835" t="s">
        <v>236</v>
      </c>
      <c r="B21" s="835"/>
      <c r="C21" s="835"/>
      <c r="D21" s="835"/>
      <c r="E21" s="835"/>
      <c r="F21" s="835"/>
      <c r="G21" s="835"/>
      <c r="H21" s="835"/>
      <c r="I21" s="835"/>
      <c r="J21" s="835"/>
      <c r="K21" s="835"/>
      <c r="L21" s="835"/>
      <c r="M21" s="835"/>
    </row>
    <row r="22" spans="1:13" s="36" customFormat="1" ht="12" customHeight="1">
      <c r="A22" s="835" t="s">
        <v>55</v>
      </c>
      <c r="B22" s="835"/>
      <c r="C22" s="835"/>
      <c r="D22" s="835" t="s">
        <v>56</v>
      </c>
      <c r="E22" s="835"/>
      <c r="F22" s="835"/>
      <c r="G22" s="363" t="s">
        <v>383</v>
      </c>
      <c r="H22" s="363" t="s">
        <v>428</v>
      </c>
      <c r="I22" s="363" t="s">
        <v>58</v>
      </c>
      <c r="J22" s="363" t="s">
        <v>54</v>
      </c>
      <c r="K22" s="363" t="s">
        <v>400</v>
      </c>
      <c r="L22" s="363" t="s">
        <v>141</v>
      </c>
      <c r="M22" s="363" t="s">
        <v>144</v>
      </c>
    </row>
    <row r="23" spans="1:13" s="36" customFormat="1" ht="12" customHeight="1">
      <c r="A23" s="329">
        <f t="shared" ref="A23:H26" si="10">A15</f>
        <v>0</v>
      </c>
      <c r="B23" s="329" t="str">
        <f t="shared" si="10"/>
        <v>+</v>
      </c>
      <c r="C23" s="362">
        <f t="shared" si="10"/>
        <v>0</v>
      </c>
      <c r="D23" s="329">
        <f t="shared" si="10"/>
        <v>4</v>
      </c>
      <c r="E23" s="329" t="str">
        <f t="shared" si="10"/>
        <v>+</v>
      </c>
      <c r="F23" s="362">
        <f t="shared" si="10"/>
        <v>17</v>
      </c>
      <c r="G23" s="362" t="str">
        <f t="shared" si="10"/>
        <v>RUA JOSÉ MARQUES</v>
      </c>
      <c r="H23" s="560" t="str">
        <f t="shared" si="10"/>
        <v>LE/LD</v>
      </c>
      <c r="I23" s="87">
        <f>(D23*20+F23)-(A23*20+C23)</f>
        <v>97</v>
      </c>
      <c r="J23" s="87">
        <f>J15</f>
        <v>8</v>
      </c>
      <c r="K23" s="87">
        <f t="shared" ref="K23:K26" si="11">TRUNC(I23*J23,2)</f>
        <v>776</v>
      </c>
      <c r="L23" s="362">
        <v>0.15</v>
      </c>
      <c r="M23" s="299">
        <f>TRUNC(K23*L23,2)</f>
        <v>116.4</v>
      </c>
    </row>
    <row r="24" spans="1:13" s="36" customFormat="1" ht="12" customHeight="1">
      <c r="A24" s="329">
        <f t="shared" si="10"/>
        <v>0</v>
      </c>
      <c r="B24" s="329" t="str">
        <f t="shared" si="10"/>
        <v>+</v>
      </c>
      <c r="C24" s="635">
        <f t="shared" si="10"/>
        <v>0</v>
      </c>
      <c r="D24" s="329">
        <f t="shared" si="10"/>
        <v>8</v>
      </c>
      <c r="E24" s="329" t="str">
        <f t="shared" si="10"/>
        <v>+</v>
      </c>
      <c r="F24" s="635">
        <f t="shared" si="10"/>
        <v>0</v>
      </c>
      <c r="G24" s="635" t="str">
        <f t="shared" si="10"/>
        <v>RUA VEREADOR FLÁVIO ROCHA</v>
      </c>
      <c r="H24" s="635" t="str">
        <f t="shared" si="10"/>
        <v>LE/LD</v>
      </c>
      <c r="I24" s="87">
        <f t="shared" ref="I24" si="12">(D24*20+F24)-(A24*20+C24)</f>
        <v>160</v>
      </c>
      <c r="J24" s="87">
        <f>J16</f>
        <v>7</v>
      </c>
      <c r="K24" s="87">
        <f t="shared" si="11"/>
        <v>1120</v>
      </c>
      <c r="L24" s="635">
        <v>0.15</v>
      </c>
      <c r="M24" s="299">
        <f>TRUNC(K24*L24,2)</f>
        <v>168</v>
      </c>
    </row>
    <row r="25" spans="1:13" s="36" customFormat="1" ht="12" customHeight="1">
      <c r="A25" s="329">
        <f t="shared" si="10"/>
        <v>0</v>
      </c>
      <c r="B25" s="329" t="str">
        <f t="shared" si="10"/>
        <v>+</v>
      </c>
      <c r="C25" s="635">
        <f t="shared" si="10"/>
        <v>0</v>
      </c>
      <c r="D25" s="329">
        <f t="shared" si="10"/>
        <v>6</v>
      </c>
      <c r="E25" s="329" t="str">
        <f t="shared" si="10"/>
        <v>+</v>
      </c>
      <c r="F25" s="635">
        <f t="shared" si="10"/>
        <v>10</v>
      </c>
      <c r="G25" s="635" t="str">
        <f t="shared" si="10"/>
        <v>RUA 156</v>
      </c>
      <c r="H25" s="635" t="str">
        <f t="shared" si="10"/>
        <v>LE/LD</v>
      </c>
      <c r="I25" s="87">
        <f>(D25*20+F25)-(A25*20+C25)</f>
        <v>130</v>
      </c>
      <c r="J25" s="87">
        <f>J17</f>
        <v>8</v>
      </c>
      <c r="K25" s="87">
        <f t="shared" si="11"/>
        <v>1040</v>
      </c>
      <c r="L25" s="593">
        <v>0.15</v>
      </c>
      <c r="M25" s="299">
        <f>TRUNC(K25*L25,2)</f>
        <v>156</v>
      </c>
    </row>
    <row r="26" spans="1:13" s="36" customFormat="1" ht="12" customHeight="1">
      <c r="A26" s="329">
        <f t="shared" si="10"/>
        <v>0</v>
      </c>
      <c r="B26" s="329" t="str">
        <f t="shared" si="10"/>
        <v>+</v>
      </c>
      <c r="C26" s="635">
        <f t="shared" si="10"/>
        <v>0</v>
      </c>
      <c r="D26" s="329">
        <f t="shared" si="10"/>
        <v>4</v>
      </c>
      <c r="E26" s="329" t="str">
        <f t="shared" si="10"/>
        <v>+</v>
      </c>
      <c r="F26" s="635">
        <f t="shared" si="10"/>
        <v>10</v>
      </c>
      <c r="G26" s="635" t="str">
        <f t="shared" si="10"/>
        <v>RUA CRICIÚMA</v>
      </c>
      <c r="H26" s="635" t="str">
        <f t="shared" si="10"/>
        <v>LE/LD</v>
      </c>
      <c r="I26" s="87">
        <f t="shared" ref="I26" si="13">(D26*20+F26)-(A26*20+C26)</f>
        <v>90</v>
      </c>
      <c r="J26" s="87">
        <f>J17</f>
        <v>8</v>
      </c>
      <c r="K26" s="87">
        <f t="shared" si="11"/>
        <v>720</v>
      </c>
      <c r="L26" s="635">
        <v>0.15</v>
      </c>
      <c r="M26" s="299">
        <f>TRUNC(K26*L26,2)</f>
        <v>108</v>
      </c>
    </row>
    <row r="27" spans="1:13" s="36" customFormat="1" ht="12" customHeight="1">
      <c r="A27" s="834" t="s">
        <v>22</v>
      </c>
      <c r="B27" s="834"/>
      <c r="C27" s="834"/>
      <c r="D27" s="834"/>
      <c r="E27" s="834"/>
      <c r="F27" s="834"/>
      <c r="G27" s="834"/>
      <c r="H27" s="834"/>
      <c r="I27" s="834"/>
      <c r="J27" s="834"/>
      <c r="K27" s="834"/>
      <c r="L27" s="834"/>
      <c r="M27" s="299">
        <f>SUM(M23:M26)</f>
        <v>548.4</v>
      </c>
    </row>
    <row r="28" spans="1:13" s="36" customFormat="1" ht="12" customHeight="1">
      <c r="A28" s="379"/>
      <c r="B28" s="327"/>
      <c r="C28" s="328"/>
      <c r="D28" s="327"/>
      <c r="E28" s="327"/>
      <c r="F28" s="328"/>
      <c r="G28" s="328"/>
      <c r="H28" s="328"/>
      <c r="I28" s="328"/>
      <c r="J28" s="328"/>
      <c r="K28" s="328"/>
      <c r="L28" s="328"/>
      <c r="M28" s="380"/>
    </row>
    <row r="29" spans="1:13" s="36" customFormat="1" ht="12" customHeight="1">
      <c r="A29" s="835" t="s">
        <v>142</v>
      </c>
      <c r="B29" s="835"/>
      <c r="C29" s="835"/>
      <c r="D29" s="835"/>
      <c r="E29" s="835"/>
      <c r="F29" s="835"/>
      <c r="G29" s="835"/>
      <c r="H29" s="835"/>
      <c r="I29" s="835"/>
      <c r="J29" s="835"/>
      <c r="K29" s="835"/>
      <c r="L29" s="835"/>
      <c r="M29" s="835"/>
    </row>
    <row r="30" spans="1:13" s="36" customFormat="1" ht="12" customHeight="1">
      <c r="A30" s="835" t="s">
        <v>55</v>
      </c>
      <c r="B30" s="835"/>
      <c r="C30" s="835"/>
      <c r="D30" s="835" t="s">
        <v>56</v>
      </c>
      <c r="E30" s="835"/>
      <c r="F30" s="835"/>
      <c r="G30" s="363" t="s">
        <v>383</v>
      </c>
      <c r="H30" s="363" t="s">
        <v>428</v>
      </c>
      <c r="I30" s="363" t="s">
        <v>58</v>
      </c>
      <c r="J30" s="363" t="s">
        <v>54</v>
      </c>
      <c r="K30" s="363" t="s">
        <v>400</v>
      </c>
      <c r="L30" s="363" t="s">
        <v>141</v>
      </c>
      <c r="M30" s="363" t="s">
        <v>145</v>
      </c>
    </row>
    <row r="31" spans="1:13" s="36" customFormat="1" ht="12" customHeight="1">
      <c r="A31" s="329">
        <f t="shared" ref="A31:H34" si="14">A23</f>
        <v>0</v>
      </c>
      <c r="B31" s="329" t="str">
        <f t="shared" si="14"/>
        <v>+</v>
      </c>
      <c r="C31" s="362">
        <f t="shared" si="14"/>
        <v>0</v>
      </c>
      <c r="D31" s="329">
        <f t="shared" si="14"/>
        <v>4</v>
      </c>
      <c r="E31" s="329" t="str">
        <f t="shared" si="14"/>
        <v>+</v>
      </c>
      <c r="F31" s="362">
        <f t="shared" si="14"/>
        <v>17</v>
      </c>
      <c r="G31" s="362" t="str">
        <f t="shared" si="14"/>
        <v>RUA JOSÉ MARQUES</v>
      </c>
      <c r="H31" s="560" t="str">
        <f t="shared" si="14"/>
        <v>LE/LD</v>
      </c>
      <c r="I31" s="87">
        <f>(D31*20+F31)-(A31*20+C31)</f>
        <v>97</v>
      </c>
      <c r="J31" s="362">
        <f>J23</f>
        <v>8</v>
      </c>
      <c r="K31" s="87">
        <f t="shared" ref="K31:K34" si="15">TRUNC(I31*J31,2)</f>
        <v>776</v>
      </c>
      <c r="L31" s="362" t="s">
        <v>47</v>
      </c>
      <c r="M31" s="299">
        <f>K31</f>
        <v>776</v>
      </c>
    </row>
    <row r="32" spans="1:13" s="36" customFormat="1" ht="12" customHeight="1">
      <c r="A32" s="329">
        <f t="shared" si="14"/>
        <v>0</v>
      </c>
      <c r="B32" s="329" t="str">
        <f t="shared" si="14"/>
        <v>+</v>
      </c>
      <c r="C32" s="635">
        <f t="shared" si="14"/>
        <v>0</v>
      </c>
      <c r="D32" s="329">
        <f t="shared" si="14"/>
        <v>8</v>
      </c>
      <c r="E32" s="329" t="str">
        <f t="shared" si="14"/>
        <v>+</v>
      </c>
      <c r="F32" s="635">
        <f t="shared" si="14"/>
        <v>0</v>
      </c>
      <c r="G32" s="635" t="str">
        <f t="shared" si="14"/>
        <v>RUA VEREADOR FLÁVIO ROCHA</v>
      </c>
      <c r="H32" s="635" t="str">
        <f t="shared" si="14"/>
        <v>LE/LD</v>
      </c>
      <c r="I32" s="87">
        <f t="shared" ref="I32" si="16">(D32*20+F32)-(A32*20+C32)</f>
        <v>160</v>
      </c>
      <c r="J32" s="635">
        <f>J24</f>
        <v>7</v>
      </c>
      <c r="K32" s="87">
        <f t="shared" si="15"/>
        <v>1120</v>
      </c>
      <c r="L32" s="635" t="s">
        <v>47</v>
      </c>
      <c r="M32" s="299">
        <f>K32</f>
        <v>1120</v>
      </c>
    </row>
    <row r="33" spans="1:13" s="36" customFormat="1" ht="12" customHeight="1">
      <c r="A33" s="329">
        <f t="shared" si="14"/>
        <v>0</v>
      </c>
      <c r="B33" s="329" t="str">
        <f t="shared" si="14"/>
        <v>+</v>
      </c>
      <c r="C33" s="635">
        <f t="shared" si="14"/>
        <v>0</v>
      </c>
      <c r="D33" s="329">
        <f t="shared" si="14"/>
        <v>6</v>
      </c>
      <c r="E33" s="329" t="str">
        <f t="shared" si="14"/>
        <v>+</v>
      </c>
      <c r="F33" s="635">
        <f t="shared" si="14"/>
        <v>10</v>
      </c>
      <c r="G33" s="635" t="str">
        <f t="shared" si="14"/>
        <v>RUA 156</v>
      </c>
      <c r="H33" s="635" t="str">
        <f t="shared" si="14"/>
        <v>LE/LD</v>
      </c>
      <c r="I33" s="87">
        <f t="shared" ref="I33:I34" si="17">(D33*20+F33)-(A33*20+C33)</f>
        <v>130</v>
      </c>
      <c r="J33" s="593">
        <f>J25</f>
        <v>8</v>
      </c>
      <c r="K33" s="87">
        <f t="shared" si="15"/>
        <v>1040</v>
      </c>
      <c r="L33" s="593" t="s">
        <v>47</v>
      </c>
      <c r="M33" s="299">
        <f>K33</f>
        <v>1040</v>
      </c>
    </row>
    <row r="34" spans="1:13" s="36" customFormat="1" ht="12" customHeight="1">
      <c r="A34" s="329">
        <f t="shared" si="14"/>
        <v>0</v>
      </c>
      <c r="B34" s="329" t="str">
        <f t="shared" si="14"/>
        <v>+</v>
      </c>
      <c r="C34" s="635">
        <f t="shared" si="14"/>
        <v>0</v>
      </c>
      <c r="D34" s="329">
        <f t="shared" si="14"/>
        <v>4</v>
      </c>
      <c r="E34" s="329" t="str">
        <f t="shared" si="14"/>
        <v>+</v>
      </c>
      <c r="F34" s="635">
        <f t="shared" si="14"/>
        <v>10</v>
      </c>
      <c r="G34" s="635" t="str">
        <f t="shared" si="14"/>
        <v>RUA CRICIÚMA</v>
      </c>
      <c r="H34" s="635" t="str">
        <f t="shared" si="14"/>
        <v>LE/LD</v>
      </c>
      <c r="I34" s="87">
        <f t="shared" si="17"/>
        <v>90</v>
      </c>
      <c r="J34" s="635">
        <f>J26</f>
        <v>8</v>
      </c>
      <c r="K34" s="87">
        <f t="shared" si="15"/>
        <v>720</v>
      </c>
      <c r="L34" s="635" t="s">
        <v>47</v>
      </c>
      <c r="M34" s="299">
        <f>K34</f>
        <v>720</v>
      </c>
    </row>
    <row r="35" spans="1:13" s="36" customFormat="1" ht="12" customHeight="1">
      <c r="A35" s="833" t="s">
        <v>315</v>
      </c>
      <c r="B35" s="833"/>
      <c r="C35" s="833"/>
      <c r="D35" s="833"/>
      <c r="E35" s="833"/>
      <c r="F35" s="833"/>
      <c r="G35" s="833"/>
      <c r="H35" s="833"/>
      <c r="I35" s="833"/>
      <c r="J35" s="833"/>
      <c r="K35" s="833"/>
      <c r="L35" s="833"/>
      <c r="M35" s="299">
        <f>SUM(M31:M34)</f>
        <v>3656</v>
      </c>
    </row>
    <row r="36" spans="1:13" s="36" customFormat="1" ht="12" customHeight="1">
      <c r="A36" s="833" t="s">
        <v>644</v>
      </c>
      <c r="B36" s="833"/>
      <c r="C36" s="833"/>
      <c r="D36" s="833"/>
      <c r="E36" s="833"/>
      <c r="F36" s="833"/>
      <c r="G36" s="833"/>
      <c r="H36" s="833"/>
      <c r="I36" s="833"/>
      <c r="J36" s="833"/>
      <c r="K36" s="833"/>
      <c r="L36" s="833"/>
      <c r="M36" s="375">
        <f>TRUNC(M35*0.0013,2)</f>
        <v>4.75</v>
      </c>
    </row>
    <row r="37" spans="1:13" s="36" customFormat="1" ht="12" customHeight="1">
      <c r="A37" s="832" t="s">
        <v>645</v>
      </c>
      <c r="B37" s="832"/>
      <c r="C37" s="832"/>
      <c r="D37" s="832"/>
      <c r="E37" s="832"/>
      <c r="F37" s="832"/>
      <c r="G37" s="832"/>
      <c r="H37" s="832"/>
      <c r="I37" s="832"/>
      <c r="J37" s="832"/>
      <c r="K37" s="832"/>
      <c r="L37" s="832"/>
      <c r="M37" s="489">
        <f>M36</f>
        <v>4.75</v>
      </c>
    </row>
    <row r="38" spans="1:13" s="36" customFormat="1" ht="21.75" customHeight="1">
      <c r="A38" s="832" t="s">
        <v>726</v>
      </c>
      <c r="B38" s="832"/>
      <c r="C38" s="832"/>
      <c r="D38" s="832"/>
      <c r="E38" s="832"/>
      <c r="F38" s="832"/>
      <c r="G38" s="832"/>
      <c r="H38" s="832"/>
      <c r="I38" s="832"/>
      <c r="J38" s="832"/>
      <c r="K38" s="832"/>
      <c r="L38" s="832"/>
      <c r="M38" s="490">
        <f>TRUNC(((26.939*(567.092/270.237))+(0.253*567.092/270.237)*488)*1.17,2)</f>
        <v>369.27</v>
      </c>
    </row>
    <row r="39" spans="1:13" s="36" customFormat="1" ht="12" customHeight="1">
      <c r="A39" s="832" t="s">
        <v>314</v>
      </c>
      <c r="B39" s="832"/>
      <c r="C39" s="832"/>
      <c r="D39" s="832"/>
      <c r="E39" s="832"/>
      <c r="F39" s="832"/>
      <c r="G39" s="832"/>
      <c r="H39" s="832"/>
      <c r="I39" s="832"/>
      <c r="J39" s="832"/>
      <c r="K39" s="832"/>
      <c r="L39" s="832"/>
      <c r="M39" s="832"/>
    </row>
    <row r="40" spans="1:13" s="36" customFormat="1" ht="12" customHeight="1">
      <c r="A40" s="379"/>
      <c r="B40" s="327"/>
      <c r="C40" s="328"/>
      <c r="D40" s="327"/>
      <c r="E40" s="327"/>
      <c r="F40" s="328"/>
      <c r="G40" s="328"/>
      <c r="H40" s="328"/>
      <c r="I40" s="328"/>
      <c r="J40" s="328"/>
      <c r="K40" s="328"/>
      <c r="L40" s="328"/>
      <c r="M40" s="380"/>
    </row>
    <row r="41" spans="1:13" s="36" customFormat="1" ht="12" customHeight="1">
      <c r="A41" s="835" t="s">
        <v>143</v>
      </c>
      <c r="B41" s="835"/>
      <c r="C41" s="835"/>
      <c r="D41" s="835"/>
      <c r="E41" s="835"/>
      <c r="F41" s="835"/>
      <c r="G41" s="835"/>
      <c r="H41" s="835"/>
      <c r="I41" s="835"/>
      <c r="J41" s="835"/>
      <c r="K41" s="835"/>
      <c r="L41" s="835"/>
      <c r="M41" s="835"/>
    </row>
    <row r="42" spans="1:13" s="36" customFormat="1" ht="12" customHeight="1">
      <c r="A42" s="835" t="s">
        <v>55</v>
      </c>
      <c r="B42" s="835"/>
      <c r="C42" s="835"/>
      <c r="D42" s="835" t="s">
        <v>56</v>
      </c>
      <c r="E42" s="835"/>
      <c r="F42" s="835"/>
      <c r="G42" s="363" t="s">
        <v>383</v>
      </c>
      <c r="H42" s="363" t="s">
        <v>428</v>
      </c>
      <c r="I42" s="363" t="s">
        <v>58</v>
      </c>
      <c r="J42" s="363" t="s">
        <v>54</v>
      </c>
      <c r="K42" s="363" t="s">
        <v>400</v>
      </c>
      <c r="L42" s="363" t="s">
        <v>141</v>
      </c>
      <c r="M42" s="363" t="s">
        <v>145</v>
      </c>
    </row>
    <row r="43" spans="1:13" s="36" customFormat="1" ht="12" customHeight="1">
      <c r="A43" s="329">
        <f t="shared" ref="A43:H44" si="18">A31</f>
        <v>0</v>
      </c>
      <c r="B43" s="329" t="str">
        <f t="shared" si="18"/>
        <v>+</v>
      </c>
      <c r="C43" s="362">
        <f t="shared" si="18"/>
        <v>0</v>
      </c>
      <c r="D43" s="329">
        <f t="shared" si="18"/>
        <v>4</v>
      </c>
      <c r="E43" s="329" t="str">
        <f t="shared" si="18"/>
        <v>+</v>
      </c>
      <c r="F43" s="362">
        <f t="shared" si="18"/>
        <v>17</v>
      </c>
      <c r="G43" s="362" t="str">
        <f t="shared" si="18"/>
        <v>RUA JOSÉ MARQUES</v>
      </c>
      <c r="H43" s="362" t="str">
        <f t="shared" si="18"/>
        <v>LE/LD</v>
      </c>
      <c r="I43" s="87">
        <f>(D43*20+F43)-(A43*20+C43)</f>
        <v>97</v>
      </c>
      <c r="J43" s="362">
        <f>J31</f>
        <v>8</v>
      </c>
      <c r="K43" s="87">
        <f t="shared" ref="K43" si="19">TRUNC(I43*J43,2)</f>
        <v>776</v>
      </c>
      <c r="L43" s="362" t="s">
        <v>47</v>
      </c>
      <c r="M43" s="299">
        <f>K43</f>
        <v>776</v>
      </c>
    </row>
    <row r="44" spans="1:13" s="36" customFormat="1" ht="12" customHeight="1">
      <c r="A44" s="329">
        <f t="shared" si="18"/>
        <v>0</v>
      </c>
      <c r="B44" s="329" t="str">
        <f t="shared" si="18"/>
        <v>+</v>
      </c>
      <c r="C44" s="669">
        <f t="shared" si="18"/>
        <v>0</v>
      </c>
      <c r="D44" s="329">
        <f t="shared" si="18"/>
        <v>8</v>
      </c>
      <c r="E44" s="329" t="str">
        <f t="shared" si="18"/>
        <v>+</v>
      </c>
      <c r="F44" s="669">
        <f t="shared" si="18"/>
        <v>0</v>
      </c>
      <c r="G44" s="669" t="str">
        <f t="shared" si="18"/>
        <v>RUA VEREADOR FLÁVIO ROCHA</v>
      </c>
      <c r="H44" s="669" t="str">
        <f t="shared" si="18"/>
        <v>LE/LD</v>
      </c>
      <c r="I44" s="87">
        <f t="shared" ref="I44:I47" si="20">(D44*20+F44)-(A44*20+C44)</f>
        <v>160</v>
      </c>
      <c r="J44" s="669">
        <f>J32</f>
        <v>7</v>
      </c>
      <c r="K44" s="87">
        <f t="shared" ref="K44:K47" si="21">TRUNC(I44*J44,2)</f>
        <v>1120</v>
      </c>
      <c r="L44" s="669" t="s">
        <v>47</v>
      </c>
      <c r="M44" s="299">
        <f>K44</f>
        <v>1120</v>
      </c>
    </row>
    <row r="45" spans="1:13" s="36" customFormat="1" ht="12" customHeight="1">
      <c r="A45" s="329">
        <v>8</v>
      </c>
      <c r="B45" s="329" t="s">
        <v>57</v>
      </c>
      <c r="C45" s="669">
        <v>0</v>
      </c>
      <c r="D45" s="329">
        <v>16</v>
      </c>
      <c r="E45" s="329" t="s">
        <v>57</v>
      </c>
      <c r="F45" s="669">
        <v>13</v>
      </c>
      <c r="G45" s="669" t="s">
        <v>711</v>
      </c>
      <c r="H45" s="669" t="s">
        <v>59</v>
      </c>
      <c r="I45" s="87">
        <f t="shared" si="20"/>
        <v>173</v>
      </c>
      <c r="J45" s="669">
        <v>7</v>
      </c>
      <c r="K45" s="87">
        <f t="shared" si="21"/>
        <v>1211</v>
      </c>
      <c r="L45" s="669" t="s">
        <v>47</v>
      </c>
      <c r="M45" s="299">
        <f>K45</f>
        <v>1211</v>
      </c>
    </row>
    <row r="46" spans="1:13" s="36" customFormat="1" ht="12" customHeight="1">
      <c r="A46" s="329">
        <f t="shared" ref="A46:H46" si="22">A33</f>
        <v>0</v>
      </c>
      <c r="B46" s="329" t="str">
        <f t="shared" si="22"/>
        <v>+</v>
      </c>
      <c r="C46" s="669">
        <f t="shared" si="22"/>
        <v>0</v>
      </c>
      <c r="D46" s="329">
        <f t="shared" si="22"/>
        <v>6</v>
      </c>
      <c r="E46" s="329" t="str">
        <f t="shared" si="22"/>
        <v>+</v>
      </c>
      <c r="F46" s="669">
        <f t="shared" si="22"/>
        <v>10</v>
      </c>
      <c r="G46" s="669" t="str">
        <f t="shared" si="22"/>
        <v>RUA 156</v>
      </c>
      <c r="H46" s="669" t="str">
        <f t="shared" si="22"/>
        <v>LE/LD</v>
      </c>
      <c r="I46" s="87">
        <f t="shared" si="20"/>
        <v>130</v>
      </c>
      <c r="J46" s="669">
        <f t="shared" ref="J46:J47" si="23">J33</f>
        <v>8</v>
      </c>
      <c r="K46" s="87">
        <f t="shared" si="21"/>
        <v>1040</v>
      </c>
      <c r="L46" s="669" t="s">
        <v>47</v>
      </c>
      <c r="M46" s="299">
        <f>K46</f>
        <v>1040</v>
      </c>
    </row>
    <row r="47" spans="1:13" s="36" customFormat="1" ht="12" customHeight="1">
      <c r="A47" s="329">
        <f t="shared" ref="A47:H47" si="24">A34</f>
        <v>0</v>
      </c>
      <c r="B47" s="329" t="str">
        <f t="shared" si="24"/>
        <v>+</v>
      </c>
      <c r="C47" s="669">
        <f t="shared" si="24"/>
        <v>0</v>
      </c>
      <c r="D47" s="329">
        <f t="shared" si="24"/>
        <v>4</v>
      </c>
      <c r="E47" s="329" t="str">
        <f t="shared" si="24"/>
        <v>+</v>
      </c>
      <c r="F47" s="669">
        <f t="shared" si="24"/>
        <v>10</v>
      </c>
      <c r="G47" s="669" t="str">
        <f t="shared" si="24"/>
        <v>RUA CRICIÚMA</v>
      </c>
      <c r="H47" s="669" t="str">
        <f t="shared" si="24"/>
        <v>LE/LD</v>
      </c>
      <c r="I47" s="87">
        <f t="shared" si="20"/>
        <v>90</v>
      </c>
      <c r="J47" s="669">
        <f t="shared" si="23"/>
        <v>8</v>
      </c>
      <c r="K47" s="87">
        <f t="shared" si="21"/>
        <v>720</v>
      </c>
      <c r="L47" s="669" t="s">
        <v>47</v>
      </c>
      <c r="M47" s="299">
        <f>K47</f>
        <v>720</v>
      </c>
    </row>
    <row r="48" spans="1:13" s="36" customFormat="1" ht="12" customHeight="1">
      <c r="A48" s="833" t="s">
        <v>315</v>
      </c>
      <c r="B48" s="833"/>
      <c r="C48" s="833"/>
      <c r="D48" s="833"/>
      <c r="E48" s="833"/>
      <c r="F48" s="833"/>
      <c r="G48" s="833"/>
      <c r="H48" s="833"/>
      <c r="I48" s="833"/>
      <c r="J48" s="833"/>
      <c r="K48" s="833"/>
      <c r="L48" s="833"/>
      <c r="M48" s="299">
        <f>SUM(M43:M47)</f>
        <v>4867</v>
      </c>
    </row>
    <row r="49" spans="1:13" s="36" customFormat="1" ht="12" customHeight="1">
      <c r="A49" s="833" t="s">
        <v>646</v>
      </c>
      <c r="B49" s="833"/>
      <c r="C49" s="833"/>
      <c r="D49" s="833"/>
      <c r="E49" s="833"/>
      <c r="F49" s="833"/>
      <c r="G49" s="833"/>
      <c r="H49" s="833"/>
      <c r="I49" s="833"/>
      <c r="J49" s="833"/>
      <c r="K49" s="833"/>
      <c r="L49" s="833"/>
      <c r="M49" s="375">
        <f>TRUNC(M48*0.00045,2)</f>
        <v>2.19</v>
      </c>
    </row>
    <row r="50" spans="1:13" s="36" customFormat="1" ht="12" customHeight="1">
      <c r="A50" s="832" t="s">
        <v>316</v>
      </c>
      <c r="B50" s="832"/>
      <c r="C50" s="832"/>
      <c r="D50" s="832"/>
      <c r="E50" s="832"/>
      <c r="F50" s="832"/>
      <c r="G50" s="832"/>
      <c r="H50" s="832"/>
      <c r="I50" s="832"/>
      <c r="J50" s="832"/>
      <c r="K50" s="832"/>
      <c r="L50" s="832"/>
      <c r="M50" s="489">
        <f>M49</f>
        <v>2.19</v>
      </c>
    </row>
    <row r="51" spans="1:13" s="36" customFormat="1" ht="21" customHeight="1">
      <c r="A51" s="832" t="s">
        <v>726</v>
      </c>
      <c r="B51" s="832"/>
      <c r="C51" s="832"/>
      <c r="D51" s="832"/>
      <c r="E51" s="832"/>
      <c r="F51" s="832"/>
      <c r="G51" s="832"/>
      <c r="H51" s="832"/>
      <c r="I51" s="832"/>
      <c r="J51" s="832"/>
      <c r="K51" s="832"/>
      <c r="L51" s="832"/>
      <c r="M51" s="490">
        <f>TRUNC(((26.939*(567.092/270.237))+(0.253*567.092/270.237)*488)*1.17,2)</f>
        <v>369.27</v>
      </c>
    </row>
    <row r="52" spans="1:13" s="36" customFormat="1" ht="12" customHeight="1">
      <c r="A52" s="832" t="s">
        <v>314</v>
      </c>
      <c r="B52" s="832"/>
      <c r="C52" s="832"/>
      <c r="D52" s="832"/>
      <c r="E52" s="832"/>
      <c r="F52" s="832"/>
      <c r="G52" s="832"/>
      <c r="H52" s="832"/>
      <c r="I52" s="832"/>
      <c r="J52" s="832"/>
      <c r="K52" s="832"/>
      <c r="L52" s="832"/>
      <c r="M52" s="832"/>
    </row>
    <row r="53" spans="1:13" s="36" customFormat="1" ht="12" customHeight="1">
      <c r="A53" s="379"/>
      <c r="B53" s="327"/>
      <c r="C53" s="328"/>
      <c r="D53" s="327"/>
      <c r="E53" s="327"/>
      <c r="F53" s="328"/>
      <c r="G53" s="328"/>
      <c r="H53" s="328"/>
      <c r="I53" s="328"/>
      <c r="J53" s="328"/>
      <c r="K53" s="328"/>
      <c r="L53" s="328"/>
      <c r="M53" s="380"/>
    </row>
    <row r="54" spans="1:13" s="36" customFormat="1" ht="12" customHeight="1">
      <c r="A54" s="835" t="s">
        <v>426</v>
      </c>
      <c r="B54" s="835"/>
      <c r="C54" s="835"/>
      <c r="D54" s="835"/>
      <c r="E54" s="835"/>
      <c r="F54" s="835"/>
      <c r="G54" s="835"/>
      <c r="H54" s="835"/>
      <c r="I54" s="835"/>
      <c r="J54" s="835"/>
      <c r="K54" s="835"/>
      <c r="L54" s="835"/>
      <c r="M54" s="835"/>
    </row>
    <row r="55" spans="1:13" s="36" customFormat="1" ht="12" customHeight="1">
      <c r="A55" s="835" t="s">
        <v>55</v>
      </c>
      <c r="B55" s="835"/>
      <c r="C55" s="835"/>
      <c r="D55" s="835" t="s">
        <v>56</v>
      </c>
      <c r="E55" s="835"/>
      <c r="F55" s="835"/>
      <c r="G55" s="363" t="s">
        <v>383</v>
      </c>
      <c r="H55" s="363" t="s">
        <v>428</v>
      </c>
      <c r="I55" s="363" t="s">
        <v>58</v>
      </c>
      <c r="J55" s="363" t="s">
        <v>54</v>
      </c>
      <c r="K55" s="363" t="s">
        <v>400</v>
      </c>
      <c r="L55" s="363" t="s">
        <v>141</v>
      </c>
      <c r="M55" s="363" t="s">
        <v>144</v>
      </c>
    </row>
    <row r="56" spans="1:13" s="36" customFormat="1" ht="12" customHeight="1">
      <c r="A56" s="329">
        <f t="shared" ref="A56:H60" si="25">A43</f>
        <v>0</v>
      </c>
      <c r="B56" s="329" t="str">
        <f t="shared" si="25"/>
        <v>+</v>
      </c>
      <c r="C56" s="362">
        <f t="shared" si="25"/>
        <v>0</v>
      </c>
      <c r="D56" s="329">
        <f t="shared" si="25"/>
        <v>4</v>
      </c>
      <c r="E56" s="362" t="str">
        <f t="shared" si="25"/>
        <v>+</v>
      </c>
      <c r="F56" s="362">
        <f t="shared" si="25"/>
        <v>17</v>
      </c>
      <c r="G56" s="362" t="str">
        <f t="shared" si="25"/>
        <v>RUA JOSÉ MARQUES</v>
      </c>
      <c r="H56" s="362" t="str">
        <f t="shared" si="25"/>
        <v>LE/LD</v>
      </c>
      <c r="I56" s="87">
        <f>(D56*20+F56)-(A56*20+C56)</f>
        <v>97</v>
      </c>
      <c r="J56" s="362">
        <f>J43</f>
        <v>8</v>
      </c>
      <c r="K56" s="87">
        <f t="shared" ref="K56:K60" si="26">TRUNC(I56*J56,2)</f>
        <v>776</v>
      </c>
      <c r="L56" s="362">
        <v>0.05</v>
      </c>
      <c r="M56" s="299">
        <f>TRUNC(K56*L56,2)</f>
        <v>38.799999999999997</v>
      </c>
    </row>
    <row r="57" spans="1:13" s="36" customFormat="1" ht="12" customHeight="1">
      <c r="A57" s="329">
        <f t="shared" si="25"/>
        <v>0</v>
      </c>
      <c r="B57" s="329" t="str">
        <f t="shared" si="25"/>
        <v>+</v>
      </c>
      <c r="C57" s="635">
        <f t="shared" si="25"/>
        <v>0</v>
      </c>
      <c r="D57" s="329">
        <f t="shared" si="25"/>
        <v>8</v>
      </c>
      <c r="E57" s="635" t="str">
        <f t="shared" si="25"/>
        <v>+</v>
      </c>
      <c r="F57" s="635">
        <f t="shared" si="25"/>
        <v>0</v>
      </c>
      <c r="G57" s="635" t="str">
        <f t="shared" si="25"/>
        <v>RUA VEREADOR FLÁVIO ROCHA</v>
      </c>
      <c r="H57" s="635" t="str">
        <f t="shared" si="25"/>
        <v>LE/LD</v>
      </c>
      <c r="I57" s="87">
        <f t="shared" ref="I57:I58" si="27">(D57*20+F57)-(A57*20+C57)</f>
        <v>160</v>
      </c>
      <c r="J57" s="635">
        <f>J44</f>
        <v>7</v>
      </c>
      <c r="K57" s="87">
        <f t="shared" si="26"/>
        <v>1120</v>
      </c>
      <c r="L57" s="635">
        <v>0.05</v>
      </c>
      <c r="M57" s="299">
        <f>TRUNC(K57*L57,2)</f>
        <v>56</v>
      </c>
    </row>
    <row r="58" spans="1:13" s="36" customFormat="1" ht="12" customHeight="1">
      <c r="A58" s="329">
        <f t="shared" si="25"/>
        <v>8</v>
      </c>
      <c r="B58" s="329" t="str">
        <f t="shared" si="25"/>
        <v>+</v>
      </c>
      <c r="C58" s="635">
        <f t="shared" si="25"/>
        <v>0</v>
      </c>
      <c r="D58" s="329">
        <f t="shared" si="25"/>
        <v>16</v>
      </c>
      <c r="E58" s="635" t="str">
        <f t="shared" si="25"/>
        <v>+</v>
      </c>
      <c r="F58" s="635">
        <f t="shared" si="25"/>
        <v>13</v>
      </c>
      <c r="G58" s="635" t="str">
        <f t="shared" si="25"/>
        <v>RUA VEREADOR FLÁVIO ROCHA</v>
      </c>
      <c r="H58" s="635" t="str">
        <f t="shared" si="25"/>
        <v>LE/LD</v>
      </c>
      <c r="I58" s="87">
        <f t="shared" si="27"/>
        <v>173</v>
      </c>
      <c r="J58" s="635">
        <f>J45</f>
        <v>7</v>
      </c>
      <c r="K58" s="87">
        <f t="shared" si="26"/>
        <v>1211</v>
      </c>
      <c r="L58" s="635">
        <v>0.04</v>
      </c>
      <c r="M58" s="299">
        <f>TRUNC(K58*L58,2)</f>
        <v>48.44</v>
      </c>
    </row>
    <row r="59" spans="1:13" s="36" customFormat="1" ht="12" customHeight="1">
      <c r="A59" s="329">
        <f t="shared" si="25"/>
        <v>0</v>
      </c>
      <c r="B59" s="329" t="str">
        <f t="shared" si="25"/>
        <v>+</v>
      </c>
      <c r="C59" s="639">
        <f t="shared" si="25"/>
        <v>0</v>
      </c>
      <c r="D59" s="329">
        <f t="shared" si="25"/>
        <v>6</v>
      </c>
      <c r="E59" s="639" t="str">
        <f t="shared" si="25"/>
        <v>+</v>
      </c>
      <c r="F59" s="639">
        <f t="shared" si="25"/>
        <v>10</v>
      </c>
      <c r="G59" s="639" t="str">
        <f t="shared" si="25"/>
        <v>RUA 156</v>
      </c>
      <c r="H59" s="639" t="str">
        <f t="shared" si="25"/>
        <v>LE/LD</v>
      </c>
      <c r="I59" s="87">
        <f t="shared" ref="I59" si="28">(D59*20+F59)-(A59*20+C59)</f>
        <v>130</v>
      </c>
      <c r="J59" s="639">
        <f>J46</f>
        <v>8</v>
      </c>
      <c r="K59" s="87">
        <f t="shared" ref="K59" si="29">TRUNC(I59*J59,2)</f>
        <v>1040</v>
      </c>
      <c r="L59" s="639">
        <v>0.05</v>
      </c>
      <c r="M59" s="299">
        <f>TRUNC(K59*L59,2)</f>
        <v>52</v>
      </c>
    </row>
    <row r="60" spans="1:13" s="36" customFormat="1" ht="12" customHeight="1">
      <c r="A60" s="329">
        <f t="shared" si="25"/>
        <v>0</v>
      </c>
      <c r="B60" s="329" t="str">
        <f t="shared" si="25"/>
        <v>+</v>
      </c>
      <c r="C60" s="635">
        <f t="shared" si="25"/>
        <v>0</v>
      </c>
      <c r="D60" s="329">
        <f t="shared" si="25"/>
        <v>4</v>
      </c>
      <c r="E60" s="635" t="str">
        <f t="shared" si="25"/>
        <v>+</v>
      </c>
      <c r="F60" s="635">
        <f t="shared" si="25"/>
        <v>10</v>
      </c>
      <c r="G60" s="635" t="str">
        <f t="shared" si="25"/>
        <v>RUA CRICIÚMA</v>
      </c>
      <c r="H60" s="635" t="str">
        <f t="shared" si="25"/>
        <v>LE/LD</v>
      </c>
      <c r="I60" s="87">
        <f t="shared" ref="I60" si="30">(D60*20+F60)-(A60*20+C60)</f>
        <v>90</v>
      </c>
      <c r="J60" s="593">
        <f>J47</f>
        <v>8</v>
      </c>
      <c r="K60" s="87">
        <f t="shared" si="26"/>
        <v>720</v>
      </c>
      <c r="L60" s="593">
        <v>0.05</v>
      </c>
      <c r="M60" s="299">
        <f>TRUNC(K60*L60,2)</f>
        <v>36</v>
      </c>
    </row>
    <row r="61" spans="1:13" ht="12" customHeight="1">
      <c r="A61" s="833" t="s">
        <v>146</v>
      </c>
      <c r="B61" s="833"/>
      <c r="C61" s="833"/>
      <c r="D61" s="833"/>
      <c r="E61" s="833"/>
      <c r="F61" s="833"/>
      <c r="G61" s="833"/>
      <c r="H61" s="833"/>
      <c r="I61" s="833"/>
      <c r="J61" s="833"/>
      <c r="K61" s="833"/>
      <c r="L61" s="833"/>
      <c r="M61" s="375">
        <f>SUM(M56:M60)</f>
        <v>231.24</v>
      </c>
    </row>
    <row r="62" spans="1:13" ht="12" hidden="1" customHeight="1">
      <c r="A62" s="833" t="s">
        <v>317</v>
      </c>
      <c r="B62" s="833"/>
      <c r="C62" s="833"/>
      <c r="D62" s="833"/>
      <c r="E62" s="833"/>
      <c r="F62" s="833"/>
      <c r="G62" s="833"/>
      <c r="H62" s="833"/>
      <c r="I62" s="833"/>
      <c r="J62" s="833"/>
      <c r="K62" s="833"/>
      <c r="L62" s="833"/>
      <c r="M62" s="375">
        <f>TRUNC(M61*2.55,2)</f>
        <v>589.66</v>
      </c>
    </row>
    <row r="63" spans="1:13" ht="12" hidden="1" customHeight="1">
      <c r="A63" s="833" t="s">
        <v>449</v>
      </c>
      <c r="B63" s="833"/>
      <c r="C63" s="833"/>
      <c r="D63" s="833"/>
      <c r="E63" s="833"/>
      <c r="F63" s="833"/>
      <c r="G63" s="833"/>
      <c r="H63" s="833"/>
      <c r="I63" s="833"/>
      <c r="J63" s="833"/>
      <c r="K63" s="833"/>
      <c r="L63" s="833"/>
      <c r="M63" s="375">
        <f>TRUNC(M62*5.5%,2)</f>
        <v>32.43</v>
      </c>
    </row>
    <row r="64" spans="1:13" ht="12" hidden="1" customHeight="1">
      <c r="A64" s="833" t="s">
        <v>448</v>
      </c>
      <c r="B64" s="833"/>
      <c r="C64" s="833"/>
      <c r="D64" s="833"/>
      <c r="E64" s="833"/>
      <c r="F64" s="833"/>
      <c r="G64" s="833"/>
      <c r="H64" s="833"/>
      <c r="I64" s="833"/>
      <c r="J64" s="833"/>
      <c r="K64" s="833"/>
      <c r="L64" s="833"/>
      <c r="M64" s="375">
        <f>M63</f>
        <v>32.43</v>
      </c>
    </row>
    <row r="65" spans="1:13" ht="21" hidden="1" customHeight="1">
      <c r="A65" s="836" t="s">
        <v>518</v>
      </c>
      <c r="B65" s="836"/>
      <c r="C65" s="836"/>
      <c r="D65" s="836"/>
      <c r="E65" s="836"/>
      <c r="F65" s="836"/>
      <c r="G65" s="836"/>
      <c r="H65" s="836"/>
      <c r="I65" s="836"/>
      <c r="J65" s="836"/>
      <c r="K65" s="836"/>
      <c r="L65" s="836"/>
      <c r="M65" s="491">
        <f>TRUNC(((26.939*(544.113/270.237))+(0.253*544.113/270.237)*267)*1.17,2)</f>
        <v>222.59</v>
      </c>
    </row>
    <row r="66" spans="1:13" ht="12" hidden="1" customHeight="1">
      <c r="A66" s="832" t="s">
        <v>523</v>
      </c>
      <c r="B66" s="832"/>
      <c r="C66" s="832"/>
      <c r="D66" s="832"/>
      <c r="E66" s="832"/>
      <c r="F66" s="832"/>
      <c r="G66" s="832"/>
      <c r="H66" s="832"/>
      <c r="I66" s="832"/>
      <c r="J66" s="832"/>
      <c r="K66" s="832"/>
      <c r="L66" s="832"/>
      <c r="M66" s="832"/>
    </row>
    <row r="67" spans="1:13" ht="12" customHeight="1">
      <c r="A67" s="492"/>
      <c r="B67" s="492"/>
      <c r="C67" s="492"/>
      <c r="D67" s="492"/>
      <c r="E67" s="492"/>
      <c r="F67" s="492"/>
      <c r="G67" s="492"/>
      <c r="H67" s="492"/>
      <c r="I67" s="492"/>
      <c r="J67" s="492"/>
      <c r="K67" s="492"/>
      <c r="L67" s="492"/>
      <c r="M67" s="492"/>
    </row>
    <row r="68" spans="1:13" ht="12" customHeight="1">
      <c r="A68" s="493"/>
      <c r="B68" s="493"/>
      <c r="C68" s="493"/>
      <c r="D68" s="493"/>
      <c r="E68" s="493"/>
      <c r="F68" s="493"/>
      <c r="G68" s="493"/>
      <c r="H68" s="493"/>
      <c r="I68" s="493"/>
      <c r="J68" s="493"/>
      <c r="K68" s="493"/>
      <c r="L68" s="493"/>
      <c r="M68" s="493"/>
    </row>
    <row r="74" spans="1:13" ht="3" customHeight="1"/>
  </sheetData>
  <mergeCells count="43">
    <mergeCell ref="A61:L61"/>
    <mergeCell ref="A66:M66"/>
    <mergeCell ref="A63:L63"/>
    <mergeCell ref="A64:L64"/>
    <mergeCell ref="A65:L65"/>
    <mergeCell ref="A62:L62"/>
    <mergeCell ref="A55:C55"/>
    <mergeCell ref="D55:F55"/>
    <mergeCell ref="A5:M5"/>
    <mergeCell ref="A6:C6"/>
    <mergeCell ref="D6:F6"/>
    <mergeCell ref="A39:M39"/>
    <mergeCell ref="A29:M29"/>
    <mergeCell ref="A30:C30"/>
    <mergeCell ref="D30:F30"/>
    <mergeCell ref="A52:M52"/>
    <mergeCell ref="A54:M54"/>
    <mergeCell ref="A51:L51"/>
    <mergeCell ref="A50:L50"/>
    <mergeCell ref="A13:M13"/>
    <mergeCell ref="D14:F14"/>
    <mergeCell ref="A22:C22"/>
    <mergeCell ref="A37:L37"/>
    <mergeCell ref="A38:L38"/>
    <mergeCell ref="A48:L48"/>
    <mergeCell ref="A49:L49"/>
    <mergeCell ref="A11:L11"/>
    <mergeCell ref="A19:L19"/>
    <mergeCell ref="A27:L27"/>
    <mergeCell ref="A35:L35"/>
    <mergeCell ref="A41:M41"/>
    <mergeCell ref="A42:C42"/>
    <mergeCell ref="D42:F42"/>
    <mergeCell ref="A36:L36"/>
    <mergeCell ref="D22:F22"/>
    <mergeCell ref="A21:M21"/>
    <mergeCell ref="A14:C14"/>
    <mergeCell ref="A1:F3"/>
    <mergeCell ref="K2:L2"/>
    <mergeCell ref="I2:J2"/>
    <mergeCell ref="G2:H2"/>
    <mergeCell ref="G3:L3"/>
    <mergeCell ref="G1:M1"/>
  </mergeCells>
  <printOptions horizontalCentered="1"/>
  <pageMargins left="0.78740157480314965" right="0.78740157480314965" top="0.78740157480314965" bottom="1.1811023622047245" header="0" footer="0.19685039370078741"/>
  <pageSetup paperSize="9" scale="73" orientation="portrait" r:id="rId1"/>
  <headerFooter alignWithMargins="0">
    <oddFooter>&amp;CEng° Darcio Pagani Vieira
Crea/SC - 077.222-9</oddFooter>
  </headerFooter>
  <ignoredErrors>
    <ignoredError sqref="I15:I16 I23:I24 I31:I32 I43 I59:I60 I56:I58 I44:I47 I33:I34 I25 I17:I18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O120"/>
  <sheetViews>
    <sheetView showGridLines="0" view="pageBreakPreview" zoomScale="145" zoomScaleSheetLayoutView="145" workbookViewId="0">
      <pane ySplit="3" topLeftCell="A4" activePane="bottomLeft" state="frozen"/>
      <selection activeCell="D21" sqref="D21"/>
      <selection pane="bottomLeft" activeCell="D21" sqref="D21"/>
    </sheetView>
  </sheetViews>
  <sheetFormatPr defaultRowHeight="13.8"/>
  <cols>
    <col min="1" max="6" width="4.33203125" style="600" customWidth="1"/>
    <col min="7" max="7" width="39.109375" style="600" customWidth="1"/>
    <col min="8" max="8" width="8.44140625" style="600" bestFit="1" customWidth="1"/>
    <col min="9" max="9" width="11.88671875" style="621" customWidth="1"/>
    <col min="10" max="10" width="11.5546875" style="621" bestFit="1" customWidth="1"/>
    <col min="11" max="12" width="7.33203125" style="600" customWidth="1"/>
    <col min="13" max="13" width="23.109375" style="600" bestFit="1" customWidth="1"/>
    <col min="14" max="257" width="9.109375" style="600"/>
    <col min="258" max="263" width="4.88671875" style="600" customWidth="1"/>
    <col min="264" max="264" width="8.44140625" style="600" bestFit="1" customWidth="1"/>
    <col min="265" max="265" width="12.6640625" style="600" customWidth="1"/>
    <col min="266" max="266" width="15.44140625" style="600" bestFit="1" customWidth="1"/>
    <col min="267" max="269" width="12.6640625" style="600" customWidth="1"/>
    <col min="270" max="513" width="9.109375" style="600"/>
    <col min="514" max="519" width="4.88671875" style="600" customWidth="1"/>
    <col min="520" max="520" width="8.44140625" style="600" bestFit="1" customWidth="1"/>
    <col min="521" max="521" width="12.6640625" style="600" customWidth="1"/>
    <col min="522" max="522" width="15.44140625" style="600" bestFit="1" customWidth="1"/>
    <col min="523" max="525" width="12.6640625" style="600" customWidth="1"/>
    <col min="526" max="769" width="9.109375" style="600"/>
    <col min="770" max="775" width="4.88671875" style="600" customWidth="1"/>
    <col min="776" max="776" width="8.44140625" style="600" bestFit="1" customWidth="1"/>
    <col min="777" max="777" width="12.6640625" style="600" customWidth="1"/>
    <col min="778" max="778" width="15.44140625" style="600" bestFit="1" customWidth="1"/>
    <col min="779" max="781" width="12.6640625" style="600" customWidth="1"/>
    <col min="782" max="1025" width="9.109375" style="600"/>
    <col min="1026" max="1031" width="4.88671875" style="600" customWidth="1"/>
    <col min="1032" max="1032" width="8.44140625" style="600" bestFit="1" customWidth="1"/>
    <col min="1033" max="1033" width="12.6640625" style="600" customWidth="1"/>
    <col min="1034" max="1034" width="15.44140625" style="600" bestFit="1" customWidth="1"/>
    <col min="1035" max="1037" width="12.6640625" style="600" customWidth="1"/>
    <col min="1038" max="1281" width="9.109375" style="600"/>
    <col min="1282" max="1287" width="4.88671875" style="600" customWidth="1"/>
    <col min="1288" max="1288" width="8.44140625" style="600" bestFit="1" customWidth="1"/>
    <col min="1289" max="1289" width="12.6640625" style="600" customWidth="1"/>
    <col min="1290" max="1290" width="15.44140625" style="600" bestFit="1" customWidth="1"/>
    <col min="1291" max="1293" width="12.6640625" style="600" customWidth="1"/>
    <col min="1294" max="1537" width="9.109375" style="600"/>
    <col min="1538" max="1543" width="4.88671875" style="600" customWidth="1"/>
    <col min="1544" max="1544" width="8.44140625" style="600" bestFit="1" customWidth="1"/>
    <col min="1545" max="1545" width="12.6640625" style="600" customWidth="1"/>
    <col min="1546" max="1546" width="15.44140625" style="600" bestFit="1" customWidth="1"/>
    <col min="1547" max="1549" width="12.6640625" style="600" customWidth="1"/>
    <col min="1550" max="1793" width="9.109375" style="600"/>
    <col min="1794" max="1799" width="4.88671875" style="600" customWidth="1"/>
    <col min="1800" max="1800" width="8.44140625" style="600" bestFit="1" customWidth="1"/>
    <col min="1801" max="1801" width="12.6640625" style="600" customWidth="1"/>
    <col min="1802" max="1802" width="15.44140625" style="600" bestFit="1" customWidth="1"/>
    <col min="1803" max="1805" width="12.6640625" style="600" customWidth="1"/>
    <col min="1806" max="2049" width="9.109375" style="600"/>
    <col min="2050" max="2055" width="4.88671875" style="600" customWidth="1"/>
    <col min="2056" max="2056" width="8.44140625" style="600" bestFit="1" customWidth="1"/>
    <col min="2057" max="2057" width="12.6640625" style="600" customWidth="1"/>
    <col min="2058" max="2058" width="15.44140625" style="600" bestFit="1" customWidth="1"/>
    <col min="2059" max="2061" width="12.6640625" style="600" customWidth="1"/>
    <col min="2062" max="2305" width="9.109375" style="600"/>
    <col min="2306" max="2311" width="4.88671875" style="600" customWidth="1"/>
    <col min="2312" max="2312" width="8.44140625" style="600" bestFit="1" customWidth="1"/>
    <col min="2313" max="2313" width="12.6640625" style="600" customWidth="1"/>
    <col min="2314" max="2314" width="15.44140625" style="600" bestFit="1" customWidth="1"/>
    <col min="2315" max="2317" width="12.6640625" style="600" customWidth="1"/>
    <col min="2318" max="2561" width="9.109375" style="600"/>
    <col min="2562" max="2567" width="4.88671875" style="600" customWidth="1"/>
    <col min="2568" max="2568" width="8.44140625" style="600" bestFit="1" customWidth="1"/>
    <col min="2569" max="2569" width="12.6640625" style="600" customWidth="1"/>
    <col min="2570" max="2570" width="15.44140625" style="600" bestFit="1" customWidth="1"/>
    <col min="2571" max="2573" width="12.6640625" style="600" customWidth="1"/>
    <col min="2574" max="2817" width="9.109375" style="600"/>
    <col min="2818" max="2823" width="4.88671875" style="600" customWidth="1"/>
    <col min="2824" max="2824" width="8.44140625" style="600" bestFit="1" customWidth="1"/>
    <col min="2825" max="2825" width="12.6640625" style="600" customWidth="1"/>
    <col min="2826" max="2826" width="15.44140625" style="600" bestFit="1" customWidth="1"/>
    <col min="2827" max="2829" width="12.6640625" style="600" customWidth="1"/>
    <col min="2830" max="3073" width="9.109375" style="600"/>
    <col min="3074" max="3079" width="4.88671875" style="600" customWidth="1"/>
    <col min="3080" max="3080" width="8.44140625" style="600" bestFit="1" customWidth="1"/>
    <col min="3081" max="3081" width="12.6640625" style="600" customWidth="1"/>
    <col min="3082" max="3082" width="15.44140625" style="600" bestFit="1" customWidth="1"/>
    <col min="3083" max="3085" width="12.6640625" style="600" customWidth="1"/>
    <col min="3086" max="3329" width="9.109375" style="600"/>
    <col min="3330" max="3335" width="4.88671875" style="600" customWidth="1"/>
    <col min="3336" max="3336" width="8.44140625" style="600" bestFit="1" customWidth="1"/>
    <col min="3337" max="3337" width="12.6640625" style="600" customWidth="1"/>
    <col min="3338" max="3338" width="15.44140625" style="600" bestFit="1" customWidth="1"/>
    <col min="3339" max="3341" width="12.6640625" style="600" customWidth="1"/>
    <col min="3342" max="3585" width="9.109375" style="600"/>
    <col min="3586" max="3591" width="4.88671875" style="600" customWidth="1"/>
    <col min="3592" max="3592" width="8.44140625" style="600" bestFit="1" customWidth="1"/>
    <col min="3593" max="3593" width="12.6640625" style="600" customWidth="1"/>
    <col min="3594" max="3594" width="15.44140625" style="600" bestFit="1" customWidth="1"/>
    <col min="3595" max="3597" width="12.6640625" style="600" customWidth="1"/>
    <col min="3598" max="3841" width="9.109375" style="600"/>
    <col min="3842" max="3847" width="4.88671875" style="600" customWidth="1"/>
    <col min="3848" max="3848" width="8.44140625" style="600" bestFit="1" customWidth="1"/>
    <col min="3849" max="3849" width="12.6640625" style="600" customWidth="1"/>
    <col min="3850" max="3850" width="15.44140625" style="600" bestFit="1" customWidth="1"/>
    <col min="3851" max="3853" width="12.6640625" style="600" customWidth="1"/>
    <col min="3854" max="4097" width="9.109375" style="600"/>
    <col min="4098" max="4103" width="4.88671875" style="600" customWidth="1"/>
    <col min="4104" max="4104" width="8.44140625" style="600" bestFit="1" customWidth="1"/>
    <col min="4105" max="4105" width="12.6640625" style="600" customWidth="1"/>
    <col min="4106" max="4106" width="15.44140625" style="600" bestFit="1" customWidth="1"/>
    <col min="4107" max="4109" width="12.6640625" style="600" customWidth="1"/>
    <col min="4110" max="4353" width="9.109375" style="600"/>
    <col min="4354" max="4359" width="4.88671875" style="600" customWidth="1"/>
    <col min="4360" max="4360" width="8.44140625" style="600" bestFit="1" customWidth="1"/>
    <col min="4361" max="4361" width="12.6640625" style="600" customWidth="1"/>
    <col min="4362" max="4362" width="15.44140625" style="600" bestFit="1" customWidth="1"/>
    <col min="4363" max="4365" width="12.6640625" style="600" customWidth="1"/>
    <col min="4366" max="4609" width="9.109375" style="600"/>
    <col min="4610" max="4615" width="4.88671875" style="600" customWidth="1"/>
    <col min="4616" max="4616" width="8.44140625" style="600" bestFit="1" customWidth="1"/>
    <col min="4617" max="4617" width="12.6640625" style="600" customWidth="1"/>
    <col min="4618" max="4618" width="15.44140625" style="600" bestFit="1" customWidth="1"/>
    <col min="4619" max="4621" width="12.6640625" style="600" customWidth="1"/>
    <col min="4622" max="4865" width="9.109375" style="600"/>
    <col min="4866" max="4871" width="4.88671875" style="600" customWidth="1"/>
    <col min="4872" max="4872" width="8.44140625" style="600" bestFit="1" customWidth="1"/>
    <col min="4873" max="4873" width="12.6640625" style="600" customWidth="1"/>
    <col min="4874" max="4874" width="15.44140625" style="600" bestFit="1" customWidth="1"/>
    <col min="4875" max="4877" width="12.6640625" style="600" customWidth="1"/>
    <col min="4878" max="5121" width="9.109375" style="600"/>
    <col min="5122" max="5127" width="4.88671875" style="600" customWidth="1"/>
    <col min="5128" max="5128" width="8.44140625" style="600" bestFit="1" customWidth="1"/>
    <col min="5129" max="5129" width="12.6640625" style="600" customWidth="1"/>
    <col min="5130" max="5130" width="15.44140625" style="600" bestFit="1" customWidth="1"/>
    <col min="5131" max="5133" width="12.6640625" style="600" customWidth="1"/>
    <col min="5134" max="5377" width="9.109375" style="600"/>
    <col min="5378" max="5383" width="4.88671875" style="600" customWidth="1"/>
    <col min="5384" max="5384" width="8.44140625" style="600" bestFit="1" customWidth="1"/>
    <col min="5385" max="5385" width="12.6640625" style="600" customWidth="1"/>
    <col min="5386" max="5386" width="15.44140625" style="600" bestFit="1" customWidth="1"/>
    <col min="5387" max="5389" width="12.6640625" style="600" customWidth="1"/>
    <col min="5390" max="5633" width="9.109375" style="600"/>
    <col min="5634" max="5639" width="4.88671875" style="600" customWidth="1"/>
    <col min="5640" max="5640" width="8.44140625" style="600" bestFit="1" customWidth="1"/>
    <col min="5641" max="5641" width="12.6640625" style="600" customWidth="1"/>
    <col min="5642" max="5642" width="15.44140625" style="600" bestFit="1" customWidth="1"/>
    <col min="5643" max="5645" width="12.6640625" style="600" customWidth="1"/>
    <col min="5646" max="5889" width="9.109375" style="600"/>
    <col min="5890" max="5895" width="4.88671875" style="600" customWidth="1"/>
    <col min="5896" max="5896" width="8.44140625" style="600" bestFit="1" customWidth="1"/>
    <col min="5897" max="5897" width="12.6640625" style="600" customWidth="1"/>
    <col min="5898" max="5898" width="15.44140625" style="600" bestFit="1" customWidth="1"/>
    <col min="5899" max="5901" width="12.6640625" style="600" customWidth="1"/>
    <col min="5902" max="6145" width="9.109375" style="600"/>
    <col min="6146" max="6151" width="4.88671875" style="600" customWidth="1"/>
    <col min="6152" max="6152" width="8.44140625" style="600" bestFit="1" customWidth="1"/>
    <col min="6153" max="6153" width="12.6640625" style="600" customWidth="1"/>
    <col min="6154" max="6154" width="15.44140625" style="600" bestFit="1" customWidth="1"/>
    <col min="6155" max="6157" width="12.6640625" style="600" customWidth="1"/>
    <col min="6158" max="6401" width="9.109375" style="600"/>
    <col min="6402" max="6407" width="4.88671875" style="600" customWidth="1"/>
    <col min="6408" max="6408" width="8.44140625" style="600" bestFit="1" customWidth="1"/>
    <col min="6409" max="6409" width="12.6640625" style="600" customWidth="1"/>
    <col min="6410" max="6410" width="15.44140625" style="600" bestFit="1" customWidth="1"/>
    <col min="6411" max="6413" width="12.6640625" style="600" customWidth="1"/>
    <col min="6414" max="6657" width="9.109375" style="600"/>
    <col min="6658" max="6663" width="4.88671875" style="600" customWidth="1"/>
    <col min="6664" max="6664" width="8.44140625" style="600" bestFit="1" customWidth="1"/>
    <col min="6665" max="6665" width="12.6640625" style="600" customWidth="1"/>
    <col min="6666" max="6666" width="15.44140625" style="600" bestFit="1" customWidth="1"/>
    <col min="6667" max="6669" width="12.6640625" style="600" customWidth="1"/>
    <col min="6670" max="6913" width="9.109375" style="600"/>
    <col min="6914" max="6919" width="4.88671875" style="600" customWidth="1"/>
    <col min="6920" max="6920" width="8.44140625" style="600" bestFit="1" customWidth="1"/>
    <col min="6921" max="6921" width="12.6640625" style="600" customWidth="1"/>
    <col min="6922" max="6922" width="15.44140625" style="600" bestFit="1" customWidth="1"/>
    <col min="6923" max="6925" width="12.6640625" style="600" customWidth="1"/>
    <col min="6926" max="7169" width="9.109375" style="600"/>
    <col min="7170" max="7175" width="4.88671875" style="600" customWidth="1"/>
    <col min="7176" max="7176" width="8.44140625" style="600" bestFit="1" customWidth="1"/>
    <col min="7177" max="7177" width="12.6640625" style="600" customWidth="1"/>
    <col min="7178" max="7178" width="15.44140625" style="600" bestFit="1" customWidth="1"/>
    <col min="7179" max="7181" width="12.6640625" style="600" customWidth="1"/>
    <col min="7182" max="7425" width="9.109375" style="600"/>
    <col min="7426" max="7431" width="4.88671875" style="600" customWidth="1"/>
    <col min="7432" max="7432" width="8.44140625" style="600" bestFit="1" customWidth="1"/>
    <col min="7433" max="7433" width="12.6640625" style="600" customWidth="1"/>
    <col min="7434" max="7434" width="15.44140625" style="600" bestFit="1" customWidth="1"/>
    <col min="7435" max="7437" width="12.6640625" style="600" customWidth="1"/>
    <col min="7438" max="7681" width="9.109375" style="600"/>
    <col min="7682" max="7687" width="4.88671875" style="600" customWidth="1"/>
    <col min="7688" max="7688" width="8.44140625" style="600" bestFit="1" customWidth="1"/>
    <col min="7689" max="7689" width="12.6640625" style="600" customWidth="1"/>
    <col min="7690" max="7690" width="15.44140625" style="600" bestFit="1" customWidth="1"/>
    <col min="7691" max="7693" width="12.6640625" style="600" customWidth="1"/>
    <col min="7694" max="7937" width="9.109375" style="600"/>
    <col min="7938" max="7943" width="4.88671875" style="600" customWidth="1"/>
    <col min="7944" max="7944" width="8.44140625" style="600" bestFit="1" customWidth="1"/>
    <col min="7945" max="7945" width="12.6640625" style="600" customWidth="1"/>
    <col min="7946" max="7946" width="15.44140625" style="600" bestFit="1" customWidth="1"/>
    <col min="7947" max="7949" width="12.6640625" style="600" customWidth="1"/>
    <col min="7950" max="8193" width="9.109375" style="600"/>
    <col min="8194" max="8199" width="4.88671875" style="600" customWidth="1"/>
    <col min="8200" max="8200" width="8.44140625" style="600" bestFit="1" customWidth="1"/>
    <col min="8201" max="8201" width="12.6640625" style="600" customWidth="1"/>
    <col min="8202" max="8202" width="15.44140625" style="600" bestFit="1" customWidth="1"/>
    <col min="8203" max="8205" width="12.6640625" style="600" customWidth="1"/>
    <col min="8206" max="8449" width="9.109375" style="600"/>
    <col min="8450" max="8455" width="4.88671875" style="600" customWidth="1"/>
    <col min="8456" max="8456" width="8.44140625" style="600" bestFit="1" customWidth="1"/>
    <col min="8457" max="8457" width="12.6640625" style="600" customWidth="1"/>
    <col min="8458" max="8458" width="15.44140625" style="600" bestFit="1" customWidth="1"/>
    <col min="8459" max="8461" width="12.6640625" style="600" customWidth="1"/>
    <col min="8462" max="8705" width="9.109375" style="600"/>
    <col min="8706" max="8711" width="4.88671875" style="600" customWidth="1"/>
    <col min="8712" max="8712" width="8.44140625" style="600" bestFit="1" customWidth="1"/>
    <col min="8713" max="8713" width="12.6640625" style="600" customWidth="1"/>
    <col min="8714" max="8714" width="15.44140625" style="600" bestFit="1" customWidth="1"/>
    <col min="8715" max="8717" width="12.6640625" style="600" customWidth="1"/>
    <col min="8718" max="8961" width="9.109375" style="600"/>
    <col min="8962" max="8967" width="4.88671875" style="600" customWidth="1"/>
    <col min="8968" max="8968" width="8.44140625" style="600" bestFit="1" customWidth="1"/>
    <col min="8969" max="8969" width="12.6640625" style="600" customWidth="1"/>
    <col min="8970" max="8970" width="15.44140625" style="600" bestFit="1" customWidth="1"/>
    <col min="8971" max="8973" width="12.6640625" style="600" customWidth="1"/>
    <col min="8974" max="9217" width="9.109375" style="600"/>
    <col min="9218" max="9223" width="4.88671875" style="600" customWidth="1"/>
    <col min="9224" max="9224" width="8.44140625" style="600" bestFit="1" customWidth="1"/>
    <col min="9225" max="9225" width="12.6640625" style="600" customWidth="1"/>
    <col min="9226" max="9226" width="15.44140625" style="600" bestFit="1" customWidth="1"/>
    <col min="9227" max="9229" width="12.6640625" style="600" customWidth="1"/>
    <col min="9230" max="9473" width="9.109375" style="600"/>
    <col min="9474" max="9479" width="4.88671875" style="600" customWidth="1"/>
    <col min="9480" max="9480" width="8.44140625" style="600" bestFit="1" customWidth="1"/>
    <col min="9481" max="9481" width="12.6640625" style="600" customWidth="1"/>
    <col min="9482" max="9482" width="15.44140625" style="600" bestFit="1" customWidth="1"/>
    <col min="9483" max="9485" width="12.6640625" style="600" customWidth="1"/>
    <col min="9486" max="9729" width="9.109375" style="600"/>
    <col min="9730" max="9735" width="4.88671875" style="600" customWidth="1"/>
    <col min="9736" max="9736" width="8.44140625" style="600" bestFit="1" customWidth="1"/>
    <col min="9737" max="9737" width="12.6640625" style="600" customWidth="1"/>
    <col min="9738" max="9738" width="15.44140625" style="600" bestFit="1" customWidth="1"/>
    <col min="9739" max="9741" width="12.6640625" style="600" customWidth="1"/>
    <col min="9742" max="9985" width="9.109375" style="600"/>
    <col min="9986" max="9991" width="4.88671875" style="600" customWidth="1"/>
    <col min="9992" max="9992" width="8.44140625" style="600" bestFit="1" customWidth="1"/>
    <col min="9993" max="9993" width="12.6640625" style="600" customWidth="1"/>
    <col min="9994" max="9994" width="15.44140625" style="600" bestFit="1" customWidth="1"/>
    <col min="9995" max="9997" width="12.6640625" style="600" customWidth="1"/>
    <col min="9998" max="10241" width="9.109375" style="600"/>
    <col min="10242" max="10247" width="4.88671875" style="600" customWidth="1"/>
    <col min="10248" max="10248" width="8.44140625" style="600" bestFit="1" customWidth="1"/>
    <col min="10249" max="10249" width="12.6640625" style="600" customWidth="1"/>
    <col min="10250" max="10250" width="15.44140625" style="600" bestFit="1" customWidth="1"/>
    <col min="10251" max="10253" width="12.6640625" style="600" customWidth="1"/>
    <col min="10254" max="10497" width="9.109375" style="600"/>
    <col min="10498" max="10503" width="4.88671875" style="600" customWidth="1"/>
    <col min="10504" max="10504" width="8.44140625" style="600" bestFit="1" customWidth="1"/>
    <col min="10505" max="10505" width="12.6640625" style="600" customWidth="1"/>
    <col min="10506" max="10506" width="15.44140625" style="600" bestFit="1" customWidth="1"/>
    <col min="10507" max="10509" width="12.6640625" style="600" customWidth="1"/>
    <col min="10510" max="10753" width="9.109375" style="600"/>
    <col min="10754" max="10759" width="4.88671875" style="600" customWidth="1"/>
    <col min="10760" max="10760" width="8.44140625" style="600" bestFit="1" customWidth="1"/>
    <col min="10761" max="10761" width="12.6640625" style="600" customWidth="1"/>
    <col min="10762" max="10762" width="15.44140625" style="600" bestFit="1" customWidth="1"/>
    <col min="10763" max="10765" width="12.6640625" style="600" customWidth="1"/>
    <col min="10766" max="11009" width="9.109375" style="600"/>
    <col min="11010" max="11015" width="4.88671875" style="600" customWidth="1"/>
    <col min="11016" max="11016" width="8.44140625" style="600" bestFit="1" customWidth="1"/>
    <col min="11017" max="11017" width="12.6640625" style="600" customWidth="1"/>
    <col min="11018" max="11018" width="15.44140625" style="600" bestFit="1" customWidth="1"/>
    <col min="11019" max="11021" width="12.6640625" style="600" customWidth="1"/>
    <col min="11022" max="11265" width="9.109375" style="600"/>
    <col min="11266" max="11271" width="4.88671875" style="600" customWidth="1"/>
    <col min="11272" max="11272" width="8.44140625" style="600" bestFit="1" customWidth="1"/>
    <col min="11273" max="11273" width="12.6640625" style="600" customWidth="1"/>
    <col min="11274" max="11274" width="15.44140625" style="600" bestFit="1" customWidth="1"/>
    <col min="11275" max="11277" width="12.6640625" style="600" customWidth="1"/>
    <col min="11278" max="11521" width="9.109375" style="600"/>
    <col min="11522" max="11527" width="4.88671875" style="600" customWidth="1"/>
    <col min="11528" max="11528" width="8.44140625" style="600" bestFit="1" customWidth="1"/>
    <col min="11529" max="11529" width="12.6640625" style="600" customWidth="1"/>
    <col min="11530" max="11530" width="15.44140625" style="600" bestFit="1" customWidth="1"/>
    <col min="11531" max="11533" width="12.6640625" style="600" customWidth="1"/>
    <col min="11534" max="11777" width="9.109375" style="600"/>
    <col min="11778" max="11783" width="4.88671875" style="600" customWidth="1"/>
    <col min="11784" max="11784" width="8.44140625" style="600" bestFit="1" customWidth="1"/>
    <col min="11785" max="11785" width="12.6640625" style="600" customWidth="1"/>
    <col min="11786" max="11786" width="15.44140625" style="600" bestFit="1" customWidth="1"/>
    <col min="11787" max="11789" width="12.6640625" style="600" customWidth="1"/>
    <col min="11790" max="12033" width="9.109375" style="600"/>
    <col min="12034" max="12039" width="4.88671875" style="600" customWidth="1"/>
    <col min="12040" max="12040" width="8.44140625" style="600" bestFit="1" customWidth="1"/>
    <col min="12041" max="12041" width="12.6640625" style="600" customWidth="1"/>
    <col min="12042" max="12042" width="15.44140625" style="600" bestFit="1" customWidth="1"/>
    <col min="12043" max="12045" width="12.6640625" style="600" customWidth="1"/>
    <col min="12046" max="12289" width="9.109375" style="600"/>
    <col min="12290" max="12295" width="4.88671875" style="600" customWidth="1"/>
    <col min="12296" max="12296" width="8.44140625" style="600" bestFit="1" customWidth="1"/>
    <col min="12297" max="12297" width="12.6640625" style="600" customWidth="1"/>
    <col min="12298" max="12298" width="15.44140625" style="600" bestFit="1" customWidth="1"/>
    <col min="12299" max="12301" width="12.6640625" style="600" customWidth="1"/>
    <col min="12302" max="12545" width="9.109375" style="600"/>
    <col min="12546" max="12551" width="4.88671875" style="600" customWidth="1"/>
    <col min="12552" max="12552" width="8.44140625" style="600" bestFit="1" customWidth="1"/>
    <col min="12553" max="12553" width="12.6640625" style="600" customWidth="1"/>
    <col min="12554" max="12554" width="15.44140625" style="600" bestFit="1" customWidth="1"/>
    <col min="12555" max="12557" width="12.6640625" style="600" customWidth="1"/>
    <col min="12558" max="12801" width="9.109375" style="600"/>
    <col min="12802" max="12807" width="4.88671875" style="600" customWidth="1"/>
    <col min="12808" max="12808" width="8.44140625" style="600" bestFit="1" customWidth="1"/>
    <col min="12809" max="12809" width="12.6640625" style="600" customWidth="1"/>
    <col min="12810" max="12810" width="15.44140625" style="600" bestFit="1" customWidth="1"/>
    <col min="12811" max="12813" width="12.6640625" style="600" customWidth="1"/>
    <col min="12814" max="13057" width="9.109375" style="600"/>
    <col min="13058" max="13063" width="4.88671875" style="600" customWidth="1"/>
    <col min="13064" max="13064" width="8.44140625" style="600" bestFit="1" customWidth="1"/>
    <col min="13065" max="13065" width="12.6640625" style="600" customWidth="1"/>
    <col min="13066" max="13066" width="15.44140625" style="600" bestFit="1" customWidth="1"/>
    <col min="13067" max="13069" width="12.6640625" style="600" customWidth="1"/>
    <col min="13070" max="13313" width="9.109375" style="600"/>
    <col min="13314" max="13319" width="4.88671875" style="600" customWidth="1"/>
    <col min="13320" max="13320" width="8.44140625" style="600" bestFit="1" customWidth="1"/>
    <col min="13321" max="13321" width="12.6640625" style="600" customWidth="1"/>
    <col min="13322" max="13322" width="15.44140625" style="600" bestFit="1" customWidth="1"/>
    <col min="13323" max="13325" width="12.6640625" style="600" customWidth="1"/>
    <col min="13326" max="13569" width="9.109375" style="600"/>
    <col min="13570" max="13575" width="4.88671875" style="600" customWidth="1"/>
    <col min="13576" max="13576" width="8.44140625" style="600" bestFit="1" customWidth="1"/>
    <col min="13577" max="13577" width="12.6640625" style="600" customWidth="1"/>
    <col min="13578" max="13578" width="15.44140625" style="600" bestFit="1" customWidth="1"/>
    <col min="13579" max="13581" width="12.6640625" style="600" customWidth="1"/>
    <col min="13582" max="13825" width="9.109375" style="600"/>
    <col min="13826" max="13831" width="4.88671875" style="600" customWidth="1"/>
    <col min="13832" max="13832" width="8.44140625" style="600" bestFit="1" customWidth="1"/>
    <col min="13833" max="13833" width="12.6640625" style="600" customWidth="1"/>
    <col min="13834" max="13834" width="15.44140625" style="600" bestFit="1" customWidth="1"/>
    <col min="13835" max="13837" width="12.6640625" style="600" customWidth="1"/>
    <col min="13838" max="14081" width="9.109375" style="600"/>
    <col min="14082" max="14087" width="4.88671875" style="600" customWidth="1"/>
    <col min="14088" max="14088" width="8.44140625" style="600" bestFit="1" customWidth="1"/>
    <col min="14089" max="14089" width="12.6640625" style="600" customWidth="1"/>
    <col min="14090" max="14090" width="15.44140625" style="600" bestFit="1" customWidth="1"/>
    <col min="14091" max="14093" width="12.6640625" style="600" customWidth="1"/>
    <col min="14094" max="14337" width="9.109375" style="600"/>
    <col min="14338" max="14343" width="4.88671875" style="600" customWidth="1"/>
    <col min="14344" max="14344" width="8.44140625" style="600" bestFit="1" customWidth="1"/>
    <col min="14345" max="14345" width="12.6640625" style="600" customWidth="1"/>
    <col min="14346" max="14346" width="15.44140625" style="600" bestFit="1" customWidth="1"/>
    <col min="14347" max="14349" width="12.6640625" style="600" customWidth="1"/>
    <col min="14350" max="14593" width="9.109375" style="600"/>
    <col min="14594" max="14599" width="4.88671875" style="600" customWidth="1"/>
    <col min="14600" max="14600" width="8.44140625" style="600" bestFit="1" customWidth="1"/>
    <col min="14601" max="14601" width="12.6640625" style="600" customWidth="1"/>
    <col min="14602" max="14602" width="15.44140625" style="600" bestFit="1" customWidth="1"/>
    <col min="14603" max="14605" width="12.6640625" style="600" customWidth="1"/>
    <col min="14606" max="14849" width="9.109375" style="600"/>
    <col min="14850" max="14855" width="4.88671875" style="600" customWidth="1"/>
    <col min="14856" max="14856" width="8.44140625" style="600" bestFit="1" customWidth="1"/>
    <col min="14857" max="14857" width="12.6640625" style="600" customWidth="1"/>
    <col min="14858" max="14858" width="15.44140625" style="600" bestFit="1" customWidth="1"/>
    <col min="14859" max="14861" width="12.6640625" style="600" customWidth="1"/>
    <col min="14862" max="15105" width="9.109375" style="600"/>
    <col min="15106" max="15111" width="4.88671875" style="600" customWidth="1"/>
    <col min="15112" max="15112" width="8.44140625" style="600" bestFit="1" customWidth="1"/>
    <col min="15113" max="15113" width="12.6640625" style="600" customWidth="1"/>
    <col min="15114" max="15114" width="15.44140625" style="600" bestFit="1" customWidth="1"/>
    <col min="15115" max="15117" width="12.6640625" style="600" customWidth="1"/>
    <col min="15118" max="15361" width="9.109375" style="600"/>
    <col min="15362" max="15367" width="4.88671875" style="600" customWidth="1"/>
    <col min="15368" max="15368" width="8.44140625" style="600" bestFit="1" customWidth="1"/>
    <col min="15369" max="15369" width="12.6640625" style="600" customWidth="1"/>
    <col min="15370" max="15370" width="15.44140625" style="600" bestFit="1" customWidth="1"/>
    <col min="15371" max="15373" width="12.6640625" style="600" customWidth="1"/>
    <col min="15374" max="15617" width="9.109375" style="600"/>
    <col min="15618" max="15623" width="4.88671875" style="600" customWidth="1"/>
    <col min="15624" max="15624" width="8.44140625" style="600" bestFit="1" customWidth="1"/>
    <col min="15625" max="15625" width="12.6640625" style="600" customWidth="1"/>
    <col min="15626" max="15626" width="15.44140625" style="600" bestFit="1" customWidth="1"/>
    <col min="15627" max="15629" width="12.6640625" style="600" customWidth="1"/>
    <col min="15630" max="15873" width="9.109375" style="600"/>
    <col min="15874" max="15879" width="4.88671875" style="600" customWidth="1"/>
    <col min="15880" max="15880" width="8.44140625" style="600" bestFit="1" customWidth="1"/>
    <col min="15881" max="15881" width="12.6640625" style="600" customWidth="1"/>
    <col min="15882" max="15882" width="15.44140625" style="600" bestFit="1" customWidth="1"/>
    <col min="15883" max="15885" width="12.6640625" style="600" customWidth="1"/>
    <col min="15886" max="16129" width="9.109375" style="600"/>
    <col min="16130" max="16135" width="4.88671875" style="600" customWidth="1"/>
    <col min="16136" max="16136" width="8.44140625" style="600" bestFit="1" customWidth="1"/>
    <col min="16137" max="16137" width="12.6640625" style="600" customWidth="1"/>
    <col min="16138" max="16138" width="15.44140625" style="600" bestFit="1" customWidth="1"/>
    <col min="16139" max="16141" width="12.6640625" style="600" customWidth="1"/>
    <col min="16142" max="16384" width="9.109375" style="600"/>
  </cols>
  <sheetData>
    <row r="1" spans="1:13" ht="37.5" customHeight="1">
      <c r="A1" s="853"/>
      <c r="B1" s="854"/>
      <c r="C1" s="855"/>
      <c r="D1" s="847" t="s">
        <v>691</v>
      </c>
      <c r="E1" s="847"/>
      <c r="F1" s="847"/>
      <c r="G1" s="847"/>
      <c r="H1" s="847"/>
      <c r="I1" s="847"/>
      <c r="J1" s="847"/>
      <c r="K1" s="847"/>
      <c r="L1" s="847"/>
      <c r="M1" s="848"/>
    </row>
    <row r="2" spans="1:13" ht="12" customHeight="1">
      <c r="A2" s="856"/>
      <c r="B2" s="857"/>
      <c r="C2" s="858"/>
      <c r="D2" s="849" t="str">
        <f>PAVIM.!$G$2</f>
        <v>PREFEITURA MUNICIPAL DE MARACAJÁ</v>
      </c>
      <c r="E2" s="849"/>
      <c r="F2" s="849"/>
      <c r="G2" s="849"/>
      <c r="H2" s="850"/>
      <c r="I2" s="872" t="str">
        <f>PAVIM.!$I$2</f>
        <v>BAIRRO: VILA BEATRIZ</v>
      </c>
      <c r="J2" s="872"/>
      <c r="K2" s="873" t="str">
        <f>PAVIM.!$K$2</f>
        <v>MUNICIPIO: MARACAJÁ</v>
      </c>
      <c r="L2" s="873"/>
      <c r="M2" s="630" t="str">
        <f>PAVIM.!$M$2</f>
        <v>ESTADO: SANTA CATARINA</v>
      </c>
    </row>
    <row r="3" spans="1:13" ht="12" customHeight="1">
      <c r="A3" s="859"/>
      <c r="B3" s="860"/>
      <c r="C3" s="861"/>
      <c r="D3" s="851" t="str">
        <f>PAVIM.!G3</f>
        <v>RUA JOSÉ MARQUES, RUA VEREADOR FLÁVIO ROCHA, RUA 156 e RUA CRICIÚMA</v>
      </c>
      <c r="E3" s="851"/>
      <c r="F3" s="851"/>
      <c r="G3" s="851"/>
      <c r="H3" s="851"/>
      <c r="I3" s="851"/>
      <c r="J3" s="851"/>
      <c r="K3" s="851"/>
      <c r="L3" s="852"/>
      <c r="M3" s="374" t="str">
        <f ca="1">PAVIM.!$M$3</f>
        <v>DATA: 15/10/24</v>
      </c>
    </row>
    <row r="4" spans="1:13" s="601" customFormat="1" ht="12" customHeight="1">
      <c r="A4" s="874" t="s">
        <v>678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874"/>
    </row>
    <row r="5" spans="1:13" s="601" customFormat="1" ht="12" customHeight="1">
      <c r="A5" s="840" t="s">
        <v>55</v>
      </c>
      <c r="B5" s="840"/>
      <c r="C5" s="840"/>
      <c r="D5" s="840" t="s">
        <v>56</v>
      </c>
      <c r="E5" s="840"/>
      <c r="F5" s="840"/>
      <c r="G5" s="640" t="s">
        <v>427</v>
      </c>
      <c r="H5" s="640" t="s">
        <v>120</v>
      </c>
      <c r="I5" s="602" t="s">
        <v>58</v>
      </c>
      <c r="J5" s="602" t="s">
        <v>718</v>
      </c>
      <c r="K5" s="640" t="s">
        <v>400</v>
      </c>
      <c r="L5" s="640" t="s">
        <v>675</v>
      </c>
      <c r="M5" s="640" t="s">
        <v>144</v>
      </c>
    </row>
    <row r="6" spans="1:13" s="601" customFormat="1" ht="12" customHeight="1">
      <c r="A6" s="329">
        <v>0</v>
      </c>
      <c r="B6" s="329" t="s">
        <v>57</v>
      </c>
      <c r="C6" s="639">
        <v>15</v>
      </c>
      <c r="D6" s="329">
        <v>4</v>
      </c>
      <c r="E6" s="639" t="s">
        <v>57</v>
      </c>
      <c r="F6" s="639">
        <v>17</v>
      </c>
      <c r="G6" s="639" t="s">
        <v>710</v>
      </c>
      <c r="H6" s="639" t="s">
        <v>679</v>
      </c>
      <c r="I6" s="87">
        <f t="shared" ref="I6:I18" si="0">(D6*20+F6)-(A6*20+C6)</f>
        <v>82</v>
      </c>
      <c r="J6" s="603">
        <v>1.9</v>
      </c>
      <c r="K6" s="603">
        <f t="shared" ref="K6:K18" si="1">TRUNC(I6*J6,2)</f>
        <v>155.80000000000001</v>
      </c>
      <c r="L6" s="603">
        <v>0.1</v>
      </c>
      <c r="M6" s="620">
        <f>TRUNC(K6*L6,2)</f>
        <v>15.58</v>
      </c>
    </row>
    <row r="7" spans="1:13" s="601" customFormat="1" ht="12" customHeight="1">
      <c r="A7" s="329">
        <v>0</v>
      </c>
      <c r="B7" s="329" t="s">
        <v>57</v>
      </c>
      <c r="C7" s="669">
        <v>0</v>
      </c>
      <c r="D7" s="329">
        <v>0</v>
      </c>
      <c r="E7" s="669" t="s">
        <v>57</v>
      </c>
      <c r="F7" s="669">
        <v>5</v>
      </c>
      <c r="G7" s="669" t="str">
        <f>G6</f>
        <v>RUA JOSÉ MARQUES</v>
      </c>
      <c r="H7" s="669" t="s">
        <v>680</v>
      </c>
      <c r="I7" s="87">
        <f t="shared" si="0"/>
        <v>5</v>
      </c>
      <c r="J7" s="603">
        <v>1.35</v>
      </c>
      <c r="K7" s="603">
        <f t="shared" si="1"/>
        <v>6.75</v>
      </c>
      <c r="L7" s="603">
        <v>0.1</v>
      </c>
      <c r="M7" s="620">
        <f>TRUNC(K7*L7,2)</f>
        <v>0.67</v>
      </c>
    </row>
    <row r="8" spans="1:13" s="601" customFormat="1" ht="12" customHeight="1">
      <c r="A8" s="329">
        <v>0</v>
      </c>
      <c r="B8" s="329" t="s">
        <v>57</v>
      </c>
      <c r="C8" s="639">
        <v>13</v>
      </c>
      <c r="D8" s="329">
        <v>3</v>
      </c>
      <c r="E8" s="639" t="s">
        <v>57</v>
      </c>
      <c r="F8" s="639">
        <v>12</v>
      </c>
      <c r="G8" s="669" t="str">
        <f t="shared" ref="G8:G9" si="2">G7</f>
        <v>RUA JOSÉ MARQUES</v>
      </c>
      <c r="H8" s="639" t="s">
        <v>680</v>
      </c>
      <c r="I8" s="87">
        <f t="shared" si="0"/>
        <v>59</v>
      </c>
      <c r="J8" s="603">
        <v>1.65</v>
      </c>
      <c r="K8" s="603">
        <f t="shared" si="1"/>
        <v>97.35</v>
      </c>
      <c r="L8" s="603">
        <v>0.1</v>
      </c>
      <c r="M8" s="620">
        <f>TRUNC(K8*L8,2)</f>
        <v>9.73</v>
      </c>
    </row>
    <row r="9" spans="1:13" s="601" customFormat="1" ht="12" customHeight="1">
      <c r="A9" s="329">
        <v>4</v>
      </c>
      <c r="B9" s="329" t="s">
        <v>57</v>
      </c>
      <c r="C9" s="669">
        <v>4</v>
      </c>
      <c r="D9" s="329">
        <v>4</v>
      </c>
      <c r="E9" s="669" t="s">
        <v>57</v>
      </c>
      <c r="F9" s="669">
        <v>17</v>
      </c>
      <c r="G9" s="669" t="str">
        <f t="shared" si="2"/>
        <v>RUA JOSÉ MARQUES</v>
      </c>
      <c r="H9" s="669" t="s">
        <v>680</v>
      </c>
      <c r="I9" s="87">
        <f t="shared" si="0"/>
        <v>13</v>
      </c>
      <c r="J9" s="603">
        <v>1.8</v>
      </c>
      <c r="K9" s="603">
        <f t="shared" si="1"/>
        <v>23.4</v>
      </c>
      <c r="L9" s="603">
        <v>0.1</v>
      </c>
      <c r="M9" s="620">
        <f>TRUNC(K9*L9,2)</f>
        <v>2.34</v>
      </c>
    </row>
    <row r="10" spans="1:13" s="601" customFormat="1" ht="12" customHeight="1">
      <c r="A10" s="329">
        <v>0</v>
      </c>
      <c r="B10" s="329" t="s">
        <v>57</v>
      </c>
      <c r="C10" s="639">
        <v>0</v>
      </c>
      <c r="D10" s="329">
        <v>1</v>
      </c>
      <c r="E10" s="639" t="s">
        <v>57</v>
      </c>
      <c r="F10" s="639">
        <v>0</v>
      </c>
      <c r="G10" s="639" t="s">
        <v>711</v>
      </c>
      <c r="H10" s="639" t="s">
        <v>679</v>
      </c>
      <c r="I10" s="87">
        <f t="shared" si="0"/>
        <v>20</v>
      </c>
      <c r="J10" s="603">
        <v>1.5</v>
      </c>
      <c r="K10" s="603">
        <f t="shared" si="1"/>
        <v>30</v>
      </c>
      <c r="L10" s="603">
        <v>0.1</v>
      </c>
      <c r="M10" s="620">
        <f t="shared" ref="M10:M11" si="3">TRUNC(K10*L10,2)</f>
        <v>3</v>
      </c>
    </row>
    <row r="11" spans="1:13" s="601" customFormat="1" ht="12" customHeight="1">
      <c r="A11" s="329">
        <v>1</v>
      </c>
      <c r="B11" s="329" t="s">
        <v>57</v>
      </c>
      <c r="C11" s="639">
        <v>9</v>
      </c>
      <c r="D11" s="329">
        <v>3</v>
      </c>
      <c r="E11" s="329" t="s">
        <v>57</v>
      </c>
      <c r="F11" s="639">
        <v>5</v>
      </c>
      <c r="G11" s="669" t="str">
        <f t="shared" ref="G11:G18" si="4">G10</f>
        <v>RUA VEREADOR FLÁVIO ROCHA</v>
      </c>
      <c r="H11" s="669" t="s">
        <v>679</v>
      </c>
      <c r="I11" s="87">
        <f t="shared" si="0"/>
        <v>36</v>
      </c>
      <c r="J11" s="603">
        <v>2.2000000000000002</v>
      </c>
      <c r="K11" s="603">
        <f t="shared" si="1"/>
        <v>79.2</v>
      </c>
      <c r="L11" s="603">
        <v>0.1</v>
      </c>
      <c r="M11" s="620">
        <f t="shared" si="3"/>
        <v>7.92</v>
      </c>
    </row>
    <row r="12" spans="1:13" s="601" customFormat="1" ht="12" customHeight="1">
      <c r="A12" s="329">
        <v>3</v>
      </c>
      <c r="B12" s="329" t="s">
        <v>57</v>
      </c>
      <c r="C12" s="669">
        <v>12</v>
      </c>
      <c r="D12" s="329">
        <v>7</v>
      </c>
      <c r="E12" s="329" t="s">
        <v>57</v>
      </c>
      <c r="F12" s="669">
        <v>3</v>
      </c>
      <c r="G12" s="669" t="str">
        <f t="shared" si="4"/>
        <v>RUA VEREADOR FLÁVIO ROCHA</v>
      </c>
      <c r="H12" s="669" t="s">
        <v>679</v>
      </c>
      <c r="I12" s="87">
        <f t="shared" si="0"/>
        <v>71</v>
      </c>
      <c r="J12" s="603">
        <v>2.2000000000000002</v>
      </c>
      <c r="K12" s="603">
        <f t="shared" si="1"/>
        <v>156.19999999999999</v>
      </c>
      <c r="L12" s="603">
        <v>0.1</v>
      </c>
      <c r="M12" s="620">
        <f t="shared" ref="M12" si="5">TRUNC(K12*L12,2)</f>
        <v>15.62</v>
      </c>
    </row>
    <row r="13" spans="1:13" s="601" customFormat="1" ht="12" customHeight="1">
      <c r="A13" s="329">
        <v>7</v>
      </c>
      <c r="B13" s="329" t="s">
        <v>57</v>
      </c>
      <c r="C13" s="669">
        <v>11</v>
      </c>
      <c r="D13" s="329">
        <v>9</v>
      </c>
      <c r="E13" s="329" t="s">
        <v>57</v>
      </c>
      <c r="F13" s="669">
        <v>15</v>
      </c>
      <c r="G13" s="669" t="str">
        <f t="shared" si="4"/>
        <v>RUA VEREADOR FLÁVIO ROCHA</v>
      </c>
      <c r="H13" s="669" t="s">
        <v>679</v>
      </c>
      <c r="I13" s="87">
        <f t="shared" si="0"/>
        <v>44</v>
      </c>
      <c r="J13" s="603">
        <v>2.5499999999999998</v>
      </c>
      <c r="K13" s="603">
        <f t="shared" si="1"/>
        <v>112.2</v>
      </c>
      <c r="L13" s="603">
        <v>0.1</v>
      </c>
      <c r="M13" s="620">
        <f t="shared" ref="M13" si="6">TRUNC(K13*L13,2)</f>
        <v>11.22</v>
      </c>
    </row>
    <row r="14" spans="1:13" s="601" customFormat="1" ht="12" customHeight="1">
      <c r="A14" s="329">
        <v>10</v>
      </c>
      <c r="B14" s="329" t="s">
        <v>57</v>
      </c>
      <c r="C14" s="669">
        <v>2</v>
      </c>
      <c r="D14" s="329">
        <v>16</v>
      </c>
      <c r="E14" s="329" t="s">
        <v>57</v>
      </c>
      <c r="F14" s="669">
        <v>13</v>
      </c>
      <c r="G14" s="669" t="str">
        <f t="shared" si="4"/>
        <v>RUA VEREADOR FLÁVIO ROCHA</v>
      </c>
      <c r="H14" s="669" t="s">
        <v>679</v>
      </c>
      <c r="I14" s="87">
        <f t="shared" si="0"/>
        <v>131</v>
      </c>
      <c r="J14" s="603">
        <v>1.5</v>
      </c>
      <c r="K14" s="603">
        <f t="shared" si="1"/>
        <v>196.5</v>
      </c>
      <c r="L14" s="603">
        <v>0.1</v>
      </c>
      <c r="M14" s="620">
        <f t="shared" ref="M14" si="7">TRUNC(K14*L14,2)</f>
        <v>19.649999999999999</v>
      </c>
    </row>
    <row r="15" spans="1:13" s="601" customFormat="1" ht="12" customHeight="1">
      <c r="A15" s="329">
        <v>0</v>
      </c>
      <c r="B15" s="329" t="s">
        <v>57</v>
      </c>
      <c r="C15" s="669">
        <v>0</v>
      </c>
      <c r="D15" s="329">
        <v>1</v>
      </c>
      <c r="E15" s="329" t="s">
        <v>57</v>
      </c>
      <c r="F15" s="669">
        <v>10</v>
      </c>
      <c r="G15" s="669" t="str">
        <f t="shared" si="4"/>
        <v>RUA VEREADOR FLÁVIO ROCHA</v>
      </c>
      <c r="H15" s="669" t="s">
        <v>680</v>
      </c>
      <c r="I15" s="87">
        <f t="shared" si="0"/>
        <v>30</v>
      </c>
      <c r="J15" s="603">
        <v>1.5</v>
      </c>
      <c r="K15" s="603">
        <f t="shared" si="1"/>
        <v>45</v>
      </c>
      <c r="L15" s="603">
        <v>0.1</v>
      </c>
      <c r="M15" s="620">
        <f t="shared" ref="M15" si="8">TRUNC(K15*L15,2)</f>
        <v>4.5</v>
      </c>
    </row>
    <row r="16" spans="1:13" s="601" customFormat="1" ht="12" customHeight="1">
      <c r="A16" s="329">
        <v>1</v>
      </c>
      <c r="B16" s="329" t="s">
        <v>57</v>
      </c>
      <c r="C16" s="669">
        <v>18</v>
      </c>
      <c r="D16" s="329">
        <v>7</v>
      </c>
      <c r="E16" s="329" t="s">
        <v>57</v>
      </c>
      <c r="F16" s="669">
        <v>3</v>
      </c>
      <c r="G16" s="669" t="str">
        <f t="shared" si="4"/>
        <v>RUA VEREADOR FLÁVIO ROCHA</v>
      </c>
      <c r="H16" s="669" t="s">
        <v>680</v>
      </c>
      <c r="I16" s="87">
        <f t="shared" si="0"/>
        <v>105</v>
      </c>
      <c r="J16" s="603">
        <v>2</v>
      </c>
      <c r="K16" s="603">
        <f t="shared" si="1"/>
        <v>210</v>
      </c>
      <c r="L16" s="603">
        <v>0.1</v>
      </c>
      <c r="M16" s="620">
        <f t="shared" ref="M16" si="9">TRUNC(K16*L16,2)</f>
        <v>21</v>
      </c>
    </row>
    <row r="17" spans="1:15" s="601" customFormat="1" ht="12" customHeight="1">
      <c r="A17" s="329">
        <v>7</v>
      </c>
      <c r="B17" s="329" t="s">
        <v>57</v>
      </c>
      <c r="C17" s="669">
        <v>11</v>
      </c>
      <c r="D17" s="329">
        <v>12</v>
      </c>
      <c r="E17" s="329" t="s">
        <v>57</v>
      </c>
      <c r="F17" s="669">
        <v>7</v>
      </c>
      <c r="G17" s="669" t="str">
        <f t="shared" si="4"/>
        <v>RUA VEREADOR FLÁVIO ROCHA</v>
      </c>
      <c r="H17" s="669" t="s">
        <v>680</v>
      </c>
      <c r="I17" s="87">
        <f t="shared" si="0"/>
        <v>96</v>
      </c>
      <c r="J17" s="603">
        <v>1.4</v>
      </c>
      <c r="K17" s="603">
        <f t="shared" si="1"/>
        <v>134.4</v>
      </c>
      <c r="L17" s="603">
        <v>0.1</v>
      </c>
      <c r="M17" s="620">
        <f t="shared" ref="M17" si="10">TRUNC(K17*L17,2)</f>
        <v>13.44</v>
      </c>
    </row>
    <row r="18" spans="1:15" s="601" customFormat="1" ht="12" customHeight="1">
      <c r="A18" s="329">
        <v>12</v>
      </c>
      <c r="B18" s="329" t="s">
        <v>57</v>
      </c>
      <c r="C18" s="669">
        <v>15</v>
      </c>
      <c r="D18" s="329">
        <v>16</v>
      </c>
      <c r="E18" s="329" t="s">
        <v>57</v>
      </c>
      <c r="F18" s="669">
        <v>13</v>
      </c>
      <c r="G18" s="669" t="str">
        <f t="shared" si="4"/>
        <v>RUA VEREADOR FLÁVIO ROCHA</v>
      </c>
      <c r="H18" s="669" t="s">
        <v>680</v>
      </c>
      <c r="I18" s="87">
        <f t="shared" si="0"/>
        <v>78</v>
      </c>
      <c r="J18" s="603">
        <v>1.4</v>
      </c>
      <c r="K18" s="603">
        <f t="shared" si="1"/>
        <v>109.2</v>
      </c>
      <c r="L18" s="603">
        <v>0.1</v>
      </c>
      <c r="M18" s="620">
        <f t="shared" ref="M18" si="11">TRUNC(K18*L18,2)</f>
        <v>10.92</v>
      </c>
    </row>
    <row r="19" spans="1:15" s="601" customFormat="1" ht="12" customHeight="1">
      <c r="A19" s="869" t="s">
        <v>681</v>
      </c>
      <c r="B19" s="869"/>
      <c r="C19" s="869"/>
      <c r="D19" s="869"/>
      <c r="E19" s="869"/>
      <c r="F19" s="869"/>
      <c r="G19" s="869"/>
      <c r="H19" s="869"/>
      <c r="I19" s="869"/>
      <c r="J19" s="869"/>
      <c r="K19" s="869"/>
      <c r="L19" s="869"/>
      <c r="M19" s="607">
        <f>SUM(M6:M18)</f>
        <v>135.58999999999997</v>
      </c>
    </row>
    <row r="20" spans="1:15" s="36" customFormat="1" ht="12" customHeight="1">
      <c r="A20" s="871" t="s">
        <v>682</v>
      </c>
      <c r="B20" s="871"/>
      <c r="C20" s="871"/>
      <c r="D20" s="871"/>
      <c r="E20" s="871"/>
      <c r="F20" s="871"/>
      <c r="G20" s="871"/>
      <c r="H20" s="871"/>
      <c r="I20" s="871"/>
      <c r="J20" s="871"/>
      <c r="K20" s="871"/>
      <c r="L20" s="871"/>
      <c r="M20" s="607">
        <f>M19*1.4</f>
        <v>189.82599999999996</v>
      </c>
      <c r="O20" s="354"/>
    </row>
    <row r="21" spans="1:15" ht="12" customHeight="1">
      <c r="A21" s="641"/>
      <c r="B21" s="642"/>
      <c r="C21" s="642"/>
      <c r="D21" s="642"/>
      <c r="E21" s="642"/>
      <c r="F21" s="642"/>
      <c r="G21" s="642"/>
      <c r="H21" s="642"/>
      <c r="I21" s="605"/>
      <c r="J21" s="605"/>
      <c r="K21" s="642"/>
      <c r="L21" s="642"/>
      <c r="M21" s="606"/>
    </row>
    <row r="22" spans="1:15" s="601" customFormat="1" ht="17.25" customHeight="1">
      <c r="A22" s="837" t="s">
        <v>683</v>
      </c>
      <c r="B22" s="838"/>
      <c r="C22" s="838"/>
      <c r="D22" s="838"/>
      <c r="E22" s="838"/>
      <c r="F22" s="838"/>
      <c r="G22" s="838"/>
      <c r="H22" s="838"/>
      <c r="I22" s="838"/>
      <c r="J22" s="838"/>
      <c r="K22" s="838"/>
      <c r="L22" s="838"/>
      <c r="M22" s="839"/>
    </row>
    <row r="23" spans="1:15" s="601" customFormat="1" ht="12" customHeight="1">
      <c r="A23" s="840" t="s">
        <v>55</v>
      </c>
      <c r="B23" s="840"/>
      <c r="C23" s="840"/>
      <c r="D23" s="840" t="s">
        <v>56</v>
      </c>
      <c r="E23" s="840"/>
      <c r="F23" s="840"/>
      <c r="G23" s="640" t="s">
        <v>427</v>
      </c>
      <c r="H23" s="640" t="s">
        <v>120</v>
      </c>
      <c r="I23" s="602" t="s">
        <v>58</v>
      </c>
      <c r="J23" s="602" t="s">
        <v>54</v>
      </c>
      <c r="K23" s="640" t="s">
        <v>400</v>
      </c>
      <c r="L23" s="640" t="s">
        <v>675</v>
      </c>
      <c r="M23" s="640" t="s">
        <v>695</v>
      </c>
    </row>
    <row r="24" spans="1:15" s="601" customFormat="1" ht="12" customHeight="1">
      <c r="A24" s="329">
        <f>A6</f>
        <v>0</v>
      </c>
      <c r="B24" s="329" t="str">
        <f t="shared" ref="B24:H24" si="12">B6</f>
        <v>+</v>
      </c>
      <c r="C24" s="669">
        <f t="shared" si="12"/>
        <v>15</v>
      </c>
      <c r="D24" s="329">
        <f t="shared" si="12"/>
        <v>4</v>
      </c>
      <c r="E24" s="669" t="str">
        <f t="shared" si="12"/>
        <v>+</v>
      </c>
      <c r="F24" s="669">
        <f t="shared" si="12"/>
        <v>17</v>
      </c>
      <c r="G24" s="669" t="str">
        <f t="shared" si="12"/>
        <v>RUA JOSÉ MARQUES</v>
      </c>
      <c r="H24" s="669" t="str">
        <f t="shared" si="12"/>
        <v>DIREITO</v>
      </c>
      <c r="I24" s="87">
        <f>(D24*20+F24)-(A24*20+C24)</f>
        <v>82</v>
      </c>
      <c r="J24" s="669" t="s">
        <v>47</v>
      </c>
      <c r="K24" s="669" t="s">
        <v>47</v>
      </c>
      <c r="L24" s="669" t="s">
        <v>47</v>
      </c>
      <c r="M24" s="299">
        <f>TRUNC(I24,2)</f>
        <v>82</v>
      </c>
    </row>
    <row r="25" spans="1:15" s="601" customFormat="1" ht="12" customHeight="1">
      <c r="A25" s="329">
        <f t="shared" ref="A25:H25" si="13">A7</f>
        <v>0</v>
      </c>
      <c r="B25" s="329" t="str">
        <f t="shared" si="13"/>
        <v>+</v>
      </c>
      <c r="C25" s="669">
        <f t="shared" si="13"/>
        <v>0</v>
      </c>
      <c r="D25" s="329">
        <f t="shared" si="13"/>
        <v>0</v>
      </c>
      <c r="E25" s="669" t="str">
        <f t="shared" si="13"/>
        <v>+</v>
      </c>
      <c r="F25" s="669">
        <f t="shared" si="13"/>
        <v>5</v>
      </c>
      <c r="G25" s="669" t="str">
        <f t="shared" si="13"/>
        <v>RUA JOSÉ MARQUES</v>
      </c>
      <c r="H25" s="669" t="str">
        <f t="shared" si="13"/>
        <v>ESQUERDO</v>
      </c>
      <c r="I25" s="87">
        <f>(D25*20+F25)-(A25*20+C25)</f>
        <v>5</v>
      </c>
      <c r="J25" s="669" t="s">
        <v>47</v>
      </c>
      <c r="K25" s="669" t="s">
        <v>47</v>
      </c>
      <c r="L25" s="669" t="s">
        <v>47</v>
      </c>
      <c r="M25" s="299">
        <f t="shared" ref="M25:M28" si="14">TRUNC(I25,2)</f>
        <v>5</v>
      </c>
    </row>
    <row r="26" spans="1:15" s="601" customFormat="1" ht="12" customHeight="1">
      <c r="A26" s="329">
        <f t="shared" ref="A26:H26" si="15">A8</f>
        <v>0</v>
      </c>
      <c r="B26" s="329" t="str">
        <f t="shared" si="15"/>
        <v>+</v>
      </c>
      <c r="C26" s="669">
        <f t="shared" si="15"/>
        <v>13</v>
      </c>
      <c r="D26" s="329">
        <f t="shared" si="15"/>
        <v>3</v>
      </c>
      <c r="E26" s="669" t="str">
        <f t="shared" si="15"/>
        <v>+</v>
      </c>
      <c r="F26" s="669">
        <f t="shared" si="15"/>
        <v>12</v>
      </c>
      <c r="G26" s="669" t="str">
        <f t="shared" si="15"/>
        <v>RUA JOSÉ MARQUES</v>
      </c>
      <c r="H26" s="669" t="str">
        <f t="shared" si="15"/>
        <v>ESQUERDO</v>
      </c>
      <c r="I26" s="87">
        <f>(D26*20+F26)-(A26*20+C26)</f>
        <v>59</v>
      </c>
      <c r="J26" s="669" t="s">
        <v>47</v>
      </c>
      <c r="K26" s="669" t="s">
        <v>47</v>
      </c>
      <c r="L26" s="669" t="s">
        <v>47</v>
      </c>
      <c r="M26" s="299">
        <f t="shared" si="14"/>
        <v>59</v>
      </c>
    </row>
    <row r="27" spans="1:15" s="601" customFormat="1" ht="12" customHeight="1">
      <c r="A27" s="329">
        <f t="shared" ref="A27:H27" si="16">A9</f>
        <v>4</v>
      </c>
      <c r="B27" s="329" t="str">
        <f t="shared" si="16"/>
        <v>+</v>
      </c>
      <c r="C27" s="669">
        <f t="shared" si="16"/>
        <v>4</v>
      </c>
      <c r="D27" s="329">
        <f t="shared" si="16"/>
        <v>4</v>
      </c>
      <c r="E27" s="669" t="str">
        <f t="shared" si="16"/>
        <v>+</v>
      </c>
      <c r="F27" s="669">
        <f t="shared" si="16"/>
        <v>17</v>
      </c>
      <c r="G27" s="669" t="str">
        <f t="shared" si="16"/>
        <v>RUA JOSÉ MARQUES</v>
      </c>
      <c r="H27" s="669" t="str">
        <f t="shared" si="16"/>
        <v>ESQUERDO</v>
      </c>
      <c r="I27" s="87">
        <f>(D27*20+F27)-(A27*20+C27)</f>
        <v>13</v>
      </c>
      <c r="J27" s="669" t="s">
        <v>47</v>
      </c>
      <c r="K27" s="669" t="s">
        <v>47</v>
      </c>
      <c r="L27" s="669" t="s">
        <v>47</v>
      </c>
      <c r="M27" s="299">
        <f t="shared" si="14"/>
        <v>13</v>
      </c>
    </row>
    <row r="28" spans="1:15" s="601" customFormat="1" ht="12" customHeight="1">
      <c r="A28" s="329">
        <f t="shared" ref="A28:H28" si="17">A10</f>
        <v>0</v>
      </c>
      <c r="B28" s="329" t="str">
        <f t="shared" si="17"/>
        <v>+</v>
      </c>
      <c r="C28" s="669">
        <f t="shared" si="17"/>
        <v>0</v>
      </c>
      <c r="D28" s="329">
        <f t="shared" si="17"/>
        <v>1</v>
      </c>
      <c r="E28" s="669" t="str">
        <f t="shared" si="17"/>
        <v>+</v>
      </c>
      <c r="F28" s="669">
        <f t="shared" si="17"/>
        <v>0</v>
      </c>
      <c r="G28" s="669" t="str">
        <f t="shared" si="17"/>
        <v>RUA VEREADOR FLÁVIO ROCHA</v>
      </c>
      <c r="H28" s="669" t="str">
        <f t="shared" si="17"/>
        <v>DIREITO</v>
      </c>
      <c r="I28" s="87">
        <f>(D28*20+F28)-(A28*20+C28)</f>
        <v>20</v>
      </c>
      <c r="J28" s="669" t="s">
        <v>47</v>
      </c>
      <c r="K28" s="669" t="s">
        <v>47</v>
      </c>
      <c r="L28" s="669" t="s">
        <v>47</v>
      </c>
      <c r="M28" s="299">
        <f t="shared" si="14"/>
        <v>20</v>
      </c>
    </row>
    <row r="29" spans="1:15" s="601" customFormat="1" ht="12" customHeight="1">
      <c r="A29" s="329">
        <f t="shared" ref="A29:H29" si="18">A11</f>
        <v>1</v>
      </c>
      <c r="B29" s="329" t="str">
        <f t="shared" si="18"/>
        <v>+</v>
      </c>
      <c r="C29" s="669">
        <f t="shared" si="18"/>
        <v>9</v>
      </c>
      <c r="D29" s="329">
        <f t="shared" si="18"/>
        <v>3</v>
      </c>
      <c r="E29" s="669" t="str">
        <f t="shared" si="18"/>
        <v>+</v>
      </c>
      <c r="F29" s="669">
        <f t="shared" si="18"/>
        <v>5</v>
      </c>
      <c r="G29" s="669" t="str">
        <f t="shared" si="18"/>
        <v>RUA VEREADOR FLÁVIO ROCHA</v>
      </c>
      <c r="H29" s="669" t="str">
        <f t="shared" si="18"/>
        <v>DIREITO</v>
      </c>
      <c r="I29" s="87">
        <v>45</v>
      </c>
      <c r="J29" s="669" t="s">
        <v>47</v>
      </c>
      <c r="K29" s="669" t="s">
        <v>47</v>
      </c>
      <c r="L29" s="669" t="s">
        <v>47</v>
      </c>
      <c r="M29" s="299">
        <f>TRUNC(I29,2)</f>
        <v>45</v>
      </c>
    </row>
    <row r="30" spans="1:15" s="601" customFormat="1" ht="12" customHeight="1">
      <c r="A30" s="329">
        <f t="shared" ref="A30:H30" si="19">A12</f>
        <v>3</v>
      </c>
      <c r="B30" s="329" t="str">
        <f t="shared" si="19"/>
        <v>+</v>
      </c>
      <c r="C30" s="669">
        <f t="shared" si="19"/>
        <v>12</v>
      </c>
      <c r="D30" s="329">
        <f t="shared" si="19"/>
        <v>7</v>
      </c>
      <c r="E30" s="669" t="str">
        <f t="shared" si="19"/>
        <v>+</v>
      </c>
      <c r="F30" s="669">
        <f t="shared" si="19"/>
        <v>3</v>
      </c>
      <c r="G30" s="669" t="str">
        <f t="shared" si="19"/>
        <v>RUA VEREADOR FLÁVIO ROCHA</v>
      </c>
      <c r="H30" s="669" t="str">
        <f t="shared" si="19"/>
        <v>DIREITO</v>
      </c>
      <c r="I30" s="87">
        <v>90</v>
      </c>
      <c r="J30" s="669" t="s">
        <v>47</v>
      </c>
      <c r="K30" s="669" t="s">
        <v>47</v>
      </c>
      <c r="L30" s="669" t="s">
        <v>47</v>
      </c>
      <c r="M30" s="299">
        <f t="shared" ref="M30:M33" si="20">TRUNC(I30,2)</f>
        <v>90</v>
      </c>
    </row>
    <row r="31" spans="1:15" s="601" customFormat="1" ht="12" customHeight="1">
      <c r="A31" s="329">
        <f t="shared" ref="A31:H31" si="21">A13</f>
        <v>7</v>
      </c>
      <c r="B31" s="329" t="str">
        <f t="shared" si="21"/>
        <v>+</v>
      </c>
      <c r="C31" s="669">
        <f t="shared" si="21"/>
        <v>11</v>
      </c>
      <c r="D31" s="329">
        <f t="shared" si="21"/>
        <v>9</v>
      </c>
      <c r="E31" s="669" t="str">
        <f t="shared" si="21"/>
        <v>+</v>
      </c>
      <c r="F31" s="669">
        <f t="shared" si="21"/>
        <v>15</v>
      </c>
      <c r="G31" s="669" t="str">
        <f t="shared" si="21"/>
        <v>RUA VEREADOR FLÁVIO ROCHA</v>
      </c>
      <c r="H31" s="669" t="str">
        <f t="shared" si="21"/>
        <v>DIREITO</v>
      </c>
      <c r="I31" s="87">
        <v>65</v>
      </c>
      <c r="J31" s="669" t="s">
        <v>47</v>
      </c>
      <c r="K31" s="669" t="s">
        <v>47</v>
      </c>
      <c r="L31" s="669" t="s">
        <v>47</v>
      </c>
      <c r="M31" s="299">
        <f t="shared" si="20"/>
        <v>65</v>
      </c>
    </row>
    <row r="32" spans="1:15" s="601" customFormat="1" ht="12" customHeight="1">
      <c r="A32" s="329">
        <f t="shared" ref="A32:H32" si="22">A14</f>
        <v>10</v>
      </c>
      <c r="B32" s="329" t="str">
        <f t="shared" si="22"/>
        <v>+</v>
      </c>
      <c r="C32" s="669">
        <f t="shared" si="22"/>
        <v>2</v>
      </c>
      <c r="D32" s="329">
        <f t="shared" si="22"/>
        <v>16</v>
      </c>
      <c r="E32" s="669" t="str">
        <f t="shared" si="22"/>
        <v>+</v>
      </c>
      <c r="F32" s="669">
        <f t="shared" si="22"/>
        <v>13</v>
      </c>
      <c r="G32" s="669" t="str">
        <f t="shared" si="22"/>
        <v>RUA VEREADOR FLÁVIO ROCHA</v>
      </c>
      <c r="H32" s="669" t="str">
        <f t="shared" si="22"/>
        <v>DIREITO</v>
      </c>
      <c r="I32" s="87">
        <v>138</v>
      </c>
      <c r="J32" s="669" t="s">
        <v>47</v>
      </c>
      <c r="K32" s="669" t="s">
        <v>47</v>
      </c>
      <c r="L32" s="669" t="s">
        <v>47</v>
      </c>
      <c r="M32" s="299">
        <f t="shared" si="20"/>
        <v>138</v>
      </c>
    </row>
    <row r="33" spans="1:15" s="601" customFormat="1" ht="12" customHeight="1">
      <c r="A33" s="329">
        <f t="shared" ref="A33:H33" si="23">A15</f>
        <v>0</v>
      </c>
      <c r="B33" s="329" t="str">
        <f t="shared" si="23"/>
        <v>+</v>
      </c>
      <c r="C33" s="669">
        <f t="shared" si="23"/>
        <v>0</v>
      </c>
      <c r="D33" s="329">
        <f t="shared" si="23"/>
        <v>1</v>
      </c>
      <c r="E33" s="669" t="str">
        <f t="shared" si="23"/>
        <v>+</v>
      </c>
      <c r="F33" s="669">
        <f t="shared" si="23"/>
        <v>10</v>
      </c>
      <c r="G33" s="669" t="str">
        <f t="shared" si="23"/>
        <v>RUA VEREADOR FLÁVIO ROCHA</v>
      </c>
      <c r="H33" s="669" t="str">
        <f t="shared" si="23"/>
        <v>ESQUERDO</v>
      </c>
      <c r="I33" s="87">
        <f>(D33*20+F33)-(A33*20+C33)</f>
        <v>30</v>
      </c>
      <c r="J33" s="669" t="s">
        <v>47</v>
      </c>
      <c r="K33" s="669" t="s">
        <v>47</v>
      </c>
      <c r="L33" s="669" t="s">
        <v>47</v>
      </c>
      <c r="M33" s="299">
        <f t="shared" si="20"/>
        <v>30</v>
      </c>
    </row>
    <row r="34" spans="1:15" s="601" customFormat="1" ht="12" customHeight="1">
      <c r="A34" s="329">
        <f t="shared" ref="A34:H34" si="24">A16</f>
        <v>1</v>
      </c>
      <c r="B34" s="329" t="str">
        <f t="shared" si="24"/>
        <v>+</v>
      </c>
      <c r="C34" s="669">
        <f t="shared" si="24"/>
        <v>18</v>
      </c>
      <c r="D34" s="329">
        <f t="shared" si="24"/>
        <v>7</v>
      </c>
      <c r="E34" s="669" t="str">
        <f t="shared" si="24"/>
        <v>+</v>
      </c>
      <c r="F34" s="669">
        <f t="shared" si="24"/>
        <v>3</v>
      </c>
      <c r="G34" s="669" t="str">
        <f t="shared" si="24"/>
        <v>RUA VEREADOR FLÁVIO ROCHA</v>
      </c>
      <c r="H34" s="669" t="str">
        <f t="shared" si="24"/>
        <v>ESQUERDO</v>
      </c>
      <c r="I34" s="87">
        <v>100</v>
      </c>
      <c r="J34" s="669" t="s">
        <v>47</v>
      </c>
      <c r="K34" s="669" t="s">
        <v>47</v>
      </c>
      <c r="L34" s="669" t="s">
        <v>47</v>
      </c>
      <c r="M34" s="299">
        <f>TRUNC(I34,2)</f>
        <v>100</v>
      </c>
    </row>
    <row r="35" spans="1:15" s="601" customFormat="1" ht="12" customHeight="1">
      <c r="A35" s="329">
        <f t="shared" ref="A35:H35" si="25">A17</f>
        <v>7</v>
      </c>
      <c r="B35" s="329" t="str">
        <f t="shared" si="25"/>
        <v>+</v>
      </c>
      <c r="C35" s="669">
        <f t="shared" si="25"/>
        <v>11</v>
      </c>
      <c r="D35" s="329">
        <f t="shared" si="25"/>
        <v>12</v>
      </c>
      <c r="E35" s="669" t="str">
        <f t="shared" si="25"/>
        <v>+</v>
      </c>
      <c r="F35" s="669">
        <f t="shared" si="25"/>
        <v>7</v>
      </c>
      <c r="G35" s="669" t="str">
        <f t="shared" si="25"/>
        <v>RUA VEREADOR FLÁVIO ROCHA</v>
      </c>
      <c r="H35" s="669" t="str">
        <f t="shared" si="25"/>
        <v>ESQUERDO</v>
      </c>
      <c r="I35" s="87">
        <v>92</v>
      </c>
      <c r="J35" s="669" t="s">
        <v>47</v>
      </c>
      <c r="K35" s="669" t="s">
        <v>47</v>
      </c>
      <c r="L35" s="669" t="s">
        <v>47</v>
      </c>
      <c r="M35" s="299">
        <f t="shared" ref="M35:M36" si="26">TRUNC(I35,2)</f>
        <v>92</v>
      </c>
    </row>
    <row r="36" spans="1:15" s="601" customFormat="1" ht="12" customHeight="1">
      <c r="A36" s="329">
        <f t="shared" ref="A36:H36" si="27">A18</f>
        <v>12</v>
      </c>
      <c r="B36" s="329" t="str">
        <f t="shared" si="27"/>
        <v>+</v>
      </c>
      <c r="C36" s="669">
        <f t="shared" si="27"/>
        <v>15</v>
      </c>
      <c r="D36" s="329">
        <f t="shared" si="27"/>
        <v>16</v>
      </c>
      <c r="E36" s="669" t="str">
        <f t="shared" si="27"/>
        <v>+</v>
      </c>
      <c r="F36" s="669">
        <f t="shared" si="27"/>
        <v>13</v>
      </c>
      <c r="G36" s="669" t="str">
        <f t="shared" si="27"/>
        <v>RUA VEREADOR FLÁVIO ROCHA</v>
      </c>
      <c r="H36" s="669" t="str">
        <f t="shared" si="27"/>
        <v>ESQUERDO</v>
      </c>
      <c r="I36" s="87">
        <v>75</v>
      </c>
      <c r="J36" s="669" t="s">
        <v>47</v>
      </c>
      <c r="K36" s="669" t="s">
        <v>47</v>
      </c>
      <c r="L36" s="669" t="s">
        <v>47</v>
      </c>
      <c r="M36" s="299">
        <f t="shared" si="26"/>
        <v>75</v>
      </c>
    </row>
    <row r="37" spans="1:15" s="36" customFormat="1" ht="12" customHeight="1">
      <c r="A37" s="869" t="s">
        <v>681</v>
      </c>
      <c r="B37" s="869"/>
      <c r="C37" s="869"/>
      <c r="D37" s="869"/>
      <c r="E37" s="869"/>
      <c r="F37" s="869"/>
      <c r="G37" s="869"/>
      <c r="H37" s="869"/>
      <c r="I37" s="869"/>
      <c r="J37" s="869"/>
      <c r="K37" s="869"/>
      <c r="L37" s="869"/>
      <c r="M37" s="607">
        <f>SUM(M24:M36)</f>
        <v>814</v>
      </c>
      <c r="O37" s="354"/>
    </row>
    <row r="38" spans="1:15" ht="12" customHeight="1">
      <c r="A38" s="608"/>
      <c r="B38" s="609"/>
      <c r="C38" s="609"/>
      <c r="D38" s="609"/>
      <c r="E38" s="609"/>
      <c r="F38" s="609"/>
      <c r="G38" s="609"/>
      <c r="H38" s="609"/>
      <c r="I38" s="610"/>
      <c r="J38" s="610"/>
      <c r="K38" s="609"/>
      <c r="L38" s="609"/>
      <c r="M38" s="611"/>
    </row>
    <row r="39" spans="1:15" s="601" customFormat="1" ht="12" customHeight="1">
      <c r="A39" s="870" t="s">
        <v>684</v>
      </c>
      <c r="B39" s="870"/>
      <c r="C39" s="870"/>
      <c r="D39" s="870"/>
      <c r="E39" s="870"/>
      <c r="F39" s="870"/>
      <c r="G39" s="870"/>
      <c r="H39" s="870"/>
      <c r="I39" s="870"/>
      <c r="J39" s="870"/>
      <c r="K39" s="870"/>
      <c r="L39" s="870"/>
      <c r="M39" s="870"/>
    </row>
    <row r="40" spans="1:15" s="601" customFormat="1" ht="12" customHeight="1">
      <c r="A40" s="840" t="s">
        <v>55</v>
      </c>
      <c r="B40" s="840"/>
      <c r="C40" s="840"/>
      <c r="D40" s="840" t="s">
        <v>56</v>
      </c>
      <c r="E40" s="840"/>
      <c r="F40" s="840"/>
      <c r="G40" s="640" t="s">
        <v>427</v>
      </c>
      <c r="H40" s="640" t="s">
        <v>120</v>
      </c>
      <c r="I40" s="602" t="s">
        <v>58</v>
      </c>
      <c r="J40" s="602" t="s">
        <v>718</v>
      </c>
      <c r="K40" s="640" t="s">
        <v>400</v>
      </c>
      <c r="L40" s="640" t="s">
        <v>675</v>
      </c>
      <c r="M40" s="640" t="s">
        <v>144</v>
      </c>
    </row>
    <row r="41" spans="1:15" s="601" customFormat="1" ht="12" customHeight="1">
      <c r="A41" s="329">
        <f t="shared" ref="A41:H53" si="28">A6</f>
        <v>0</v>
      </c>
      <c r="B41" s="329" t="str">
        <f t="shared" si="28"/>
        <v>+</v>
      </c>
      <c r="C41" s="639">
        <f t="shared" si="28"/>
        <v>15</v>
      </c>
      <c r="D41" s="329">
        <f t="shared" si="28"/>
        <v>4</v>
      </c>
      <c r="E41" s="639" t="str">
        <f t="shared" si="28"/>
        <v>+</v>
      </c>
      <c r="F41" s="639">
        <f t="shared" si="28"/>
        <v>17</v>
      </c>
      <c r="G41" s="639" t="str">
        <f t="shared" si="28"/>
        <v>RUA JOSÉ MARQUES</v>
      </c>
      <c r="H41" s="639" t="str">
        <f t="shared" si="28"/>
        <v>DIREITO</v>
      </c>
      <c r="I41" s="87">
        <f>(D41*20+F41)-(A41*20+C41)</f>
        <v>82</v>
      </c>
      <c r="J41" s="603">
        <f t="shared" ref="J41:J53" si="29">J6</f>
        <v>1.9</v>
      </c>
      <c r="K41" s="603">
        <f>TRUNC(I41*J41,2)</f>
        <v>155.80000000000001</v>
      </c>
      <c r="L41" s="603">
        <v>0.04</v>
      </c>
      <c r="M41" s="620">
        <f>TRUNC(K41*L41,2)</f>
        <v>6.23</v>
      </c>
    </row>
    <row r="42" spans="1:15" s="601" customFormat="1" ht="12" customHeight="1">
      <c r="A42" s="329">
        <f t="shared" si="28"/>
        <v>0</v>
      </c>
      <c r="B42" s="329" t="str">
        <f t="shared" si="28"/>
        <v>+</v>
      </c>
      <c r="C42" s="669">
        <f t="shared" si="28"/>
        <v>0</v>
      </c>
      <c r="D42" s="329">
        <f t="shared" si="28"/>
        <v>0</v>
      </c>
      <c r="E42" s="669" t="str">
        <f t="shared" si="28"/>
        <v>+</v>
      </c>
      <c r="F42" s="669">
        <f t="shared" si="28"/>
        <v>5</v>
      </c>
      <c r="G42" s="669" t="str">
        <f t="shared" si="28"/>
        <v>RUA JOSÉ MARQUES</v>
      </c>
      <c r="H42" s="669" t="str">
        <f t="shared" si="28"/>
        <v>ESQUERDO</v>
      </c>
      <c r="I42" s="87">
        <f t="shared" ref="I42:I53" si="30">(D42*20+F42)-(A42*20+C42)</f>
        <v>5</v>
      </c>
      <c r="J42" s="603">
        <f t="shared" si="29"/>
        <v>1.35</v>
      </c>
      <c r="K42" s="603">
        <f t="shared" ref="K42:K53" si="31">TRUNC(I42*J42,2)</f>
        <v>6.75</v>
      </c>
      <c r="L42" s="603">
        <v>0.04</v>
      </c>
      <c r="M42" s="620">
        <f t="shared" ref="M42:M53" si="32">TRUNC(K42*L42,2)</f>
        <v>0.27</v>
      </c>
    </row>
    <row r="43" spans="1:15" s="601" customFormat="1" ht="12" customHeight="1">
      <c r="A43" s="329">
        <f t="shared" si="28"/>
        <v>0</v>
      </c>
      <c r="B43" s="329" t="str">
        <f t="shared" si="28"/>
        <v>+</v>
      </c>
      <c r="C43" s="669">
        <f t="shared" si="28"/>
        <v>13</v>
      </c>
      <c r="D43" s="329">
        <f t="shared" si="28"/>
        <v>3</v>
      </c>
      <c r="E43" s="669" t="str">
        <f t="shared" si="28"/>
        <v>+</v>
      </c>
      <c r="F43" s="669">
        <f t="shared" si="28"/>
        <v>12</v>
      </c>
      <c r="G43" s="669" t="str">
        <f t="shared" si="28"/>
        <v>RUA JOSÉ MARQUES</v>
      </c>
      <c r="H43" s="669" t="str">
        <f t="shared" si="28"/>
        <v>ESQUERDO</v>
      </c>
      <c r="I43" s="87">
        <f t="shared" si="30"/>
        <v>59</v>
      </c>
      <c r="J43" s="603">
        <f t="shared" si="29"/>
        <v>1.65</v>
      </c>
      <c r="K43" s="603">
        <f t="shared" si="31"/>
        <v>97.35</v>
      </c>
      <c r="L43" s="603">
        <v>0.04</v>
      </c>
      <c r="M43" s="620">
        <f t="shared" si="32"/>
        <v>3.89</v>
      </c>
    </row>
    <row r="44" spans="1:15" s="601" customFormat="1" ht="12" customHeight="1">
      <c r="A44" s="329">
        <f t="shared" si="28"/>
        <v>4</v>
      </c>
      <c r="B44" s="329" t="str">
        <f t="shared" si="28"/>
        <v>+</v>
      </c>
      <c r="C44" s="669">
        <f t="shared" si="28"/>
        <v>4</v>
      </c>
      <c r="D44" s="329">
        <f t="shared" si="28"/>
        <v>4</v>
      </c>
      <c r="E44" s="669" t="str">
        <f t="shared" si="28"/>
        <v>+</v>
      </c>
      <c r="F44" s="669">
        <f t="shared" si="28"/>
        <v>17</v>
      </c>
      <c r="G44" s="669" t="str">
        <f t="shared" si="28"/>
        <v>RUA JOSÉ MARQUES</v>
      </c>
      <c r="H44" s="669" t="str">
        <f t="shared" si="28"/>
        <v>ESQUERDO</v>
      </c>
      <c r="I44" s="87">
        <f t="shared" si="30"/>
        <v>13</v>
      </c>
      <c r="J44" s="603">
        <f t="shared" si="29"/>
        <v>1.8</v>
      </c>
      <c r="K44" s="603">
        <f t="shared" si="31"/>
        <v>23.4</v>
      </c>
      <c r="L44" s="603">
        <v>0.04</v>
      </c>
      <c r="M44" s="620">
        <f t="shared" si="32"/>
        <v>0.93</v>
      </c>
    </row>
    <row r="45" spans="1:15" s="601" customFormat="1" ht="12" customHeight="1">
      <c r="A45" s="329">
        <f t="shared" si="28"/>
        <v>0</v>
      </c>
      <c r="B45" s="329" t="str">
        <f t="shared" si="28"/>
        <v>+</v>
      </c>
      <c r="C45" s="669">
        <f t="shared" si="28"/>
        <v>0</v>
      </c>
      <c r="D45" s="329">
        <f t="shared" si="28"/>
        <v>1</v>
      </c>
      <c r="E45" s="669" t="str">
        <f t="shared" si="28"/>
        <v>+</v>
      </c>
      <c r="F45" s="669">
        <f t="shared" si="28"/>
        <v>0</v>
      </c>
      <c r="G45" s="669" t="str">
        <f t="shared" si="28"/>
        <v>RUA VEREADOR FLÁVIO ROCHA</v>
      </c>
      <c r="H45" s="669" t="str">
        <f t="shared" si="28"/>
        <v>DIREITO</v>
      </c>
      <c r="I45" s="87">
        <f t="shared" si="30"/>
        <v>20</v>
      </c>
      <c r="J45" s="603">
        <f t="shared" si="29"/>
        <v>1.5</v>
      </c>
      <c r="K45" s="603">
        <f t="shared" si="31"/>
        <v>30</v>
      </c>
      <c r="L45" s="603">
        <v>0.04</v>
      </c>
      <c r="M45" s="620">
        <f t="shared" si="32"/>
        <v>1.2</v>
      </c>
    </row>
    <row r="46" spans="1:15" s="601" customFormat="1" ht="12" customHeight="1">
      <c r="A46" s="329">
        <f t="shared" si="28"/>
        <v>1</v>
      </c>
      <c r="B46" s="329" t="str">
        <f t="shared" si="28"/>
        <v>+</v>
      </c>
      <c r="C46" s="669">
        <f t="shared" si="28"/>
        <v>9</v>
      </c>
      <c r="D46" s="329">
        <f t="shared" si="28"/>
        <v>3</v>
      </c>
      <c r="E46" s="669" t="str">
        <f t="shared" si="28"/>
        <v>+</v>
      </c>
      <c r="F46" s="669">
        <f t="shared" si="28"/>
        <v>5</v>
      </c>
      <c r="G46" s="669" t="str">
        <f t="shared" si="28"/>
        <v>RUA VEREADOR FLÁVIO ROCHA</v>
      </c>
      <c r="H46" s="669" t="str">
        <f t="shared" si="28"/>
        <v>DIREITO</v>
      </c>
      <c r="I46" s="87">
        <f t="shared" si="30"/>
        <v>36</v>
      </c>
      <c r="J46" s="603">
        <f t="shared" si="29"/>
        <v>2.2000000000000002</v>
      </c>
      <c r="K46" s="603">
        <f t="shared" si="31"/>
        <v>79.2</v>
      </c>
      <c r="L46" s="603">
        <v>0.04</v>
      </c>
      <c r="M46" s="620">
        <f t="shared" si="32"/>
        <v>3.16</v>
      </c>
    </row>
    <row r="47" spans="1:15" s="601" customFormat="1" ht="12" customHeight="1">
      <c r="A47" s="329">
        <f t="shared" si="28"/>
        <v>3</v>
      </c>
      <c r="B47" s="329" t="str">
        <f t="shared" si="28"/>
        <v>+</v>
      </c>
      <c r="C47" s="669">
        <f t="shared" si="28"/>
        <v>12</v>
      </c>
      <c r="D47" s="329">
        <f t="shared" si="28"/>
        <v>7</v>
      </c>
      <c r="E47" s="669" t="str">
        <f t="shared" si="28"/>
        <v>+</v>
      </c>
      <c r="F47" s="669">
        <f t="shared" si="28"/>
        <v>3</v>
      </c>
      <c r="G47" s="669" t="str">
        <f t="shared" si="28"/>
        <v>RUA VEREADOR FLÁVIO ROCHA</v>
      </c>
      <c r="H47" s="669" t="str">
        <f t="shared" si="28"/>
        <v>DIREITO</v>
      </c>
      <c r="I47" s="87">
        <f t="shared" si="30"/>
        <v>71</v>
      </c>
      <c r="J47" s="603">
        <f t="shared" si="29"/>
        <v>2.2000000000000002</v>
      </c>
      <c r="K47" s="603">
        <f t="shared" si="31"/>
        <v>156.19999999999999</v>
      </c>
      <c r="L47" s="603">
        <v>0.04</v>
      </c>
      <c r="M47" s="620">
        <f t="shared" si="32"/>
        <v>6.24</v>
      </c>
    </row>
    <row r="48" spans="1:15" s="601" customFormat="1" ht="12" customHeight="1">
      <c r="A48" s="329">
        <f t="shared" si="28"/>
        <v>7</v>
      </c>
      <c r="B48" s="329" t="str">
        <f t="shared" si="28"/>
        <v>+</v>
      </c>
      <c r="C48" s="669">
        <f t="shared" si="28"/>
        <v>11</v>
      </c>
      <c r="D48" s="329">
        <f t="shared" si="28"/>
        <v>9</v>
      </c>
      <c r="E48" s="669" t="str">
        <f t="shared" si="28"/>
        <v>+</v>
      </c>
      <c r="F48" s="669">
        <f t="shared" si="28"/>
        <v>15</v>
      </c>
      <c r="G48" s="669" t="str">
        <f t="shared" si="28"/>
        <v>RUA VEREADOR FLÁVIO ROCHA</v>
      </c>
      <c r="H48" s="669" t="str">
        <f t="shared" si="28"/>
        <v>DIREITO</v>
      </c>
      <c r="I48" s="87">
        <f t="shared" si="30"/>
        <v>44</v>
      </c>
      <c r="J48" s="603">
        <f t="shared" si="29"/>
        <v>2.5499999999999998</v>
      </c>
      <c r="K48" s="603">
        <f t="shared" si="31"/>
        <v>112.2</v>
      </c>
      <c r="L48" s="603">
        <v>0.04</v>
      </c>
      <c r="M48" s="620">
        <f t="shared" si="32"/>
        <v>4.4800000000000004</v>
      </c>
    </row>
    <row r="49" spans="1:15" s="601" customFormat="1" ht="12" customHeight="1">
      <c r="A49" s="329">
        <f t="shared" si="28"/>
        <v>10</v>
      </c>
      <c r="B49" s="329" t="str">
        <f t="shared" si="28"/>
        <v>+</v>
      </c>
      <c r="C49" s="669">
        <f t="shared" si="28"/>
        <v>2</v>
      </c>
      <c r="D49" s="329">
        <f t="shared" si="28"/>
        <v>16</v>
      </c>
      <c r="E49" s="669" t="str">
        <f t="shared" si="28"/>
        <v>+</v>
      </c>
      <c r="F49" s="669">
        <f t="shared" si="28"/>
        <v>13</v>
      </c>
      <c r="G49" s="669" t="str">
        <f t="shared" si="28"/>
        <v>RUA VEREADOR FLÁVIO ROCHA</v>
      </c>
      <c r="H49" s="669" t="str">
        <f t="shared" si="28"/>
        <v>DIREITO</v>
      </c>
      <c r="I49" s="87">
        <f t="shared" si="30"/>
        <v>131</v>
      </c>
      <c r="J49" s="603">
        <f t="shared" si="29"/>
        <v>1.5</v>
      </c>
      <c r="K49" s="603">
        <f t="shared" si="31"/>
        <v>196.5</v>
      </c>
      <c r="L49" s="603">
        <v>0.04</v>
      </c>
      <c r="M49" s="620">
        <f t="shared" si="32"/>
        <v>7.86</v>
      </c>
    </row>
    <row r="50" spans="1:15" s="601" customFormat="1" ht="12" customHeight="1">
      <c r="A50" s="329">
        <f t="shared" si="28"/>
        <v>0</v>
      </c>
      <c r="B50" s="329" t="str">
        <f t="shared" si="28"/>
        <v>+</v>
      </c>
      <c r="C50" s="669">
        <f t="shared" si="28"/>
        <v>0</v>
      </c>
      <c r="D50" s="329">
        <f t="shared" si="28"/>
        <v>1</v>
      </c>
      <c r="E50" s="669" t="str">
        <f t="shared" si="28"/>
        <v>+</v>
      </c>
      <c r="F50" s="669">
        <f t="shared" si="28"/>
        <v>10</v>
      </c>
      <c r="G50" s="669" t="str">
        <f t="shared" si="28"/>
        <v>RUA VEREADOR FLÁVIO ROCHA</v>
      </c>
      <c r="H50" s="669" t="str">
        <f t="shared" si="28"/>
        <v>ESQUERDO</v>
      </c>
      <c r="I50" s="87">
        <f t="shared" si="30"/>
        <v>30</v>
      </c>
      <c r="J50" s="603">
        <f t="shared" si="29"/>
        <v>1.5</v>
      </c>
      <c r="K50" s="603">
        <f t="shared" si="31"/>
        <v>45</v>
      </c>
      <c r="L50" s="603">
        <v>0.04</v>
      </c>
      <c r="M50" s="620">
        <f t="shared" si="32"/>
        <v>1.8</v>
      </c>
    </row>
    <row r="51" spans="1:15" s="601" customFormat="1" ht="12" customHeight="1">
      <c r="A51" s="329">
        <f t="shared" si="28"/>
        <v>1</v>
      </c>
      <c r="B51" s="329" t="str">
        <f t="shared" si="28"/>
        <v>+</v>
      </c>
      <c r="C51" s="669">
        <f t="shared" si="28"/>
        <v>18</v>
      </c>
      <c r="D51" s="329">
        <f t="shared" si="28"/>
        <v>7</v>
      </c>
      <c r="E51" s="669" t="str">
        <f t="shared" si="28"/>
        <v>+</v>
      </c>
      <c r="F51" s="669">
        <f t="shared" si="28"/>
        <v>3</v>
      </c>
      <c r="G51" s="669" t="str">
        <f t="shared" si="28"/>
        <v>RUA VEREADOR FLÁVIO ROCHA</v>
      </c>
      <c r="H51" s="669" t="str">
        <f t="shared" si="28"/>
        <v>ESQUERDO</v>
      </c>
      <c r="I51" s="87">
        <f t="shared" si="30"/>
        <v>105</v>
      </c>
      <c r="J51" s="603">
        <f t="shared" si="29"/>
        <v>2</v>
      </c>
      <c r="K51" s="603">
        <f t="shared" si="31"/>
        <v>210</v>
      </c>
      <c r="L51" s="603">
        <v>0.04</v>
      </c>
      <c r="M51" s="620">
        <f t="shared" si="32"/>
        <v>8.4</v>
      </c>
    </row>
    <row r="52" spans="1:15" s="601" customFormat="1" ht="12" customHeight="1">
      <c r="A52" s="329">
        <f t="shared" si="28"/>
        <v>7</v>
      </c>
      <c r="B52" s="329" t="str">
        <f t="shared" si="28"/>
        <v>+</v>
      </c>
      <c r="C52" s="669">
        <f t="shared" si="28"/>
        <v>11</v>
      </c>
      <c r="D52" s="329">
        <f t="shared" si="28"/>
        <v>12</v>
      </c>
      <c r="E52" s="669" t="str">
        <f t="shared" si="28"/>
        <v>+</v>
      </c>
      <c r="F52" s="669">
        <f t="shared" si="28"/>
        <v>7</v>
      </c>
      <c r="G52" s="669" t="str">
        <f t="shared" si="28"/>
        <v>RUA VEREADOR FLÁVIO ROCHA</v>
      </c>
      <c r="H52" s="669" t="str">
        <f t="shared" si="28"/>
        <v>ESQUERDO</v>
      </c>
      <c r="I52" s="87">
        <f t="shared" si="30"/>
        <v>96</v>
      </c>
      <c r="J52" s="603">
        <f t="shared" si="29"/>
        <v>1.4</v>
      </c>
      <c r="K52" s="603">
        <f t="shared" si="31"/>
        <v>134.4</v>
      </c>
      <c r="L52" s="603">
        <v>0.04</v>
      </c>
      <c r="M52" s="620">
        <f t="shared" si="32"/>
        <v>5.37</v>
      </c>
    </row>
    <row r="53" spans="1:15" s="601" customFormat="1" ht="12" customHeight="1">
      <c r="A53" s="329">
        <f t="shared" si="28"/>
        <v>12</v>
      </c>
      <c r="B53" s="329" t="str">
        <f t="shared" si="28"/>
        <v>+</v>
      </c>
      <c r="C53" s="669">
        <f t="shared" si="28"/>
        <v>15</v>
      </c>
      <c r="D53" s="329">
        <f t="shared" si="28"/>
        <v>16</v>
      </c>
      <c r="E53" s="669" t="str">
        <f t="shared" si="28"/>
        <v>+</v>
      </c>
      <c r="F53" s="669">
        <f t="shared" si="28"/>
        <v>13</v>
      </c>
      <c r="G53" s="669" t="str">
        <f t="shared" si="28"/>
        <v>RUA VEREADOR FLÁVIO ROCHA</v>
      </c>
      <c r="H53" s="669" t="str">
        <f t="shared" si="28"/>
        <v>ESQUERDO</v>
      </c>
      <c r="I53" s="87">
        <f t="shared" si="30"/>
        <v>78</v>
      </c>
      <c r="J53" s="603">
        <f t="shared" si="29"/>
        <v>1.4</v>
      </c>
      <c r="K53" s="603">
        <f t="shared" si="31"/>
        <v>109.2</v>
      </c>
      <c r="L53" s="603">
        <v>0.04</v>
      </c>
      <c r="M53" s="620">
        <f t="shared" si="32"/>
        <v>4.3600000000000003</v>
      </c>
    </row>
    <row r="54" spans="1:15" s="36" customFormat="1" ht="12" customHeight="1">
      <c r="A54" s="869" t="s">
        <v>681</v>
      </c>
      <c r="B54" s="869"/>
      <c r="C54" s="869"/>
      <c r="D54" s="869"/>
      <c r="E54" s="869"/>
      <c r="F54" s="869"/>
      <c r="G54" s="869"/>
      <c r="H54" s="869"/>
      <c r="I54" s="869"/>
      <c r="J54" s="869"/>
      <c r="K54" s="869"/>
      <c r="L54" s="869"/>
      <c r="M54" s="607">
        <f>SUM(M41:M53)</f>
        <v>54.19</v>
      </c>
      <c r="O54" s="354"/>
    </row>
    <row r="55" spans="1:15" ht="12" customHeight="1">
      <c r="A55" s="612"/>
      <c r="B55" s="613"/>
      <c r="C55" s="613"/>
      <c r="D55" s="613"/>
      <c r="E55" s="613"/>
      <c r="F55" s="613"/>
      <c r="G55" s="613"/>
      <c r="H55" s="613"/>
      <c r="I55" s="614"/>
      <c r="J55" s="614"/>
      <c r="K55" s="613"/>
      <c r="L55" s="613"/>
      <c r="M55" s="615"/>
    </row>
    <row r="56" spans="1:15" ht="12" customHeight="1">
      <c r="A56" s="844" t="s">
        <v>685</v>
      </c>
      <c r="B56" s="845"/>
      <c r="C56" s="845"/>
      <c r="D56" s="845"/>
      <c r="E56" s="845"/>
      <c r="F56" s="845"/>
      <c r="G56" s="845"/>
      <c r="H56" s="845"/>
      <c r="I56" s="845"/>
      <c r="J56" s="845"/>
      <c r="K56" s="845"/>
      <c r="L56" s="845"/>
      <c r="M56" s="846"/>
    </row>
    <row r="57" spans="1:15" s="601" customFormat="1" ht="12" customHeight="1">
      <c r="A57" s="840" t="s">
        <v>55</v>
      </c>
      <c r="B57" s="840"/>
      <c r="C57" s="840"/>
      <c r="D57" s="840" t="s">
        <v>56</v>
      </c>
      <c r="E57" s="840"/>
      <c r="F57" s="840"/>
      <c r="G57" s="640" t="s">
        <v>427</v>
      </c>
      <c r="H57" s="640" t="s">
        <v>120</v>
      </c>
      <c r="I57" s="602" t="s">
        <v>58</v>
      </c>
      <c r="J57" s="602" t="s">
        <v>718</v>
      </c>
      <c r="K57" s="640" t="s">
        <v>400</v>
      </c>
      <c r="L57" s="640" t="s">
        <v>675</v>
      </c>
      <c r="M57" s="640" t="s">
        <v>144</v>
      </c>
    </row>
    <row r="58" spans="1:15" s="601" customFormat="1" ht="12" customHeight="1">
      <c r="A58" s="329">
        <f>A41</f>
        <v>0</v>
      </c>
      <c r="B58" s="329" t="str">
        <f t="shared" ref="B58:H58" si="33">B41</f>
        <v>+</v>
      </c>
      <c r="C58" s="669">
        <f t="shared" si="33"/>
        <v>15</v>
      </c>
      <c r="D58" s="329">
        <f t="shared" si="33"/>
        <v>4</v>
      </c>
      <c r="E58" s="669" t="str">
        <f t="shared" si="33"/>
        <v>+</v>
      </c>
      <c r="F58" s="669">
        <f t="shared" si="33"/>
        <v>17</v>
      </c>
      <c r="G58" s="669" t="str">
        <f t="shared" si="33"/>
        <v>RUA JOSÉ MARQUES</v>
      </c>
      <c r="H58" s="669" t="str">
        <f t="shared" si="33"/>
        <v>DIREITO</v>
      </c>
      <c r="I58" s="87">
        <f t="shared" ref="I58:I67" si="34">(D58*20+F58)-(A58*20+C58)</f>
        <v>82</v>
      </c>
      <c r="J58" s="603">
        <f>J41</f>
        <v>1.9</v>
      </c>
      <c r="K58" s="603">
        <f t="shared" ref="K58:K67" si="35">TRUNC(I58*J58,2)</f>
        <v>155.80000000000001</v>
      </c>
      <c r="L58" s="603">
        <v>0.05</v>
      </c>
      <c r="M58" s="620">
        <f>TRUNC(K58*L58,2)</f>
        <v>7.79</v>
      </c>
      <c r="N58" s="636"/>
    </row>
    <row r="59" spans="1:15" s="601" customFormat="1" ht="12" customHeight="1">
      <c r="A59" s="329">
        <f t="shared" ref="A59:H59" si="36">A42</f>
        <v>0</v>
      </c>
      <c r="B59" s="329" t="str">
        <f t="shared" si="36"/>
        <v>+</v>
      </c>
      <c r="C59" s="669">
        <f t="shared" si="36"/>
        <v>0</v>
      </c>
      <c r="D59" s="329">
        <f t="shared" si="36"/>
        <v>0</v>
      </c>
      <c r="E59" s="669" t="str">
        <f t="shared" si="36"/>
        <v>+</v>
      </c>
      <c r="F59" s="669">
        <f t="shared" si="36"/>
        <v>5</v>
      </c>
      <c r="G59" s="669" t="str">
        <f t="shared" si="36"/>
        <v>RUA JOSÉ MARQUES</v>
      </c>
      <c r="H59" s="669" t="str">
        <f t="shared" si="36"/>
        <v>ESQUERDO</v>
      </c>
      <c r="I59" s="87">
        <f t="shared" si="34"/>
        <v>5</v>
      </c>
      <c r="J59" s="603">
        <f t="shared" ref="J59:J70" si="37">J42</f>
        <v>1.35</v>
      </c>
      <c r="K59" s="603">
        <f t="shared" si="35"/>
        <v>6.75</v>
      </c>
      <c r="L59" s="603">
        <v>0.05</v>
      </c>
      <c r="M59" s="620">
        <f>TRUNC(K59*L59,2)</f>
        <v>0.33</v>
      </c>
      <c r="N59" s="636"/>
    </row>
    <row r="60" spans="1:15" s="601" customFormat="1" ht="12" customHeight="1">
      <c r="A60" s="329">
        <f t="shared" ref="A60:H60" si="38">A43</f>
        <v>0</v>
      </c>
      <c r="B60" s="329" t="str">
        <f t="shared" si="38"/>
        <v>+</v>
      </c>
      <c r="C60" s="669">
        <f t="shared" si="38"/>
        <v>13</v>
      </c>
      <c r="D60" s="329">
        <f t="shared" si="38"/>
        <v>3</v>
      </c>
      <c r="E60" s="669" t="str">
        <f t="shared" si="38"/>
        <v>+</v>
      </c>
      <c r="F60" s="669">
        <f t="shared" si="38"/>
        <v>12</v>
      </c>
      <c r="G60" s="669" t="str">
        <f t="shared" si="38"/>
        <v>RUA JOSÉ MARQUES</v>
      </c>
      <c r="H60" s="669" t="str">
        <f t="shared" si="38"/>
        <v>ESQUERDO</v>
      </c>
      <c r="I60" s="87">
        <f t="shared" si="34"/>
        <v>59</v>
      </c>
      <c r="J60" s="603">
        <f t="shared" si="37"/>
        <v>1.65</v>
      </c>
      <c r="K60" s="603">
        <f t="shared" si="35"/>
        <v>97.35</v>
      </c>
      <c r="L60" s="603">
        <v>0.05</v>
      </c>
      <c r="M60" s="620">
        <f t="shared" ref="M60:M62" si="39">TRUNC(K60*L60,2)</f>
        <v>4.8600000000000003</v>
      </c>
      <c r="N60" s="636"/>
    </row>
    <row r="61" spans="1:15" s="601" customFormat="1" ht="12" customHeight="1">
      <c r="A61" s="329">
        <f t="shared" ref="A61:H61" si="40">A44</f>
        <v>4</v>
      </c>
      <c r="B61" s="329" t="str">
        <f t="shared" si="40"/>
        <v>+</v>
      </c>
      <c r="C61" s="669">
        <f t="shared" si="40"/>
        <v>4</v>
      </c>
      <c r="D61" s="329">
        <f t="shared" si="40"/>
        <v>4</v>
      </c>
      <c r="E61" s="669" t="str">
        <f t="shared" si="40"/>
        <v>+</v>
      </c>
      <c r="F61" s="669">
        <f t="shared" si="40"/>
        <v>17</v>
      </c>
      <c r="G61" s="669" t="str">
        <f t="shared" si="40"/>
        <v>RUA JOSÉ MARQUES</v>
      </c>
      <c r="H61" s="669" t="str">
        <f t="shared" si="40"/>
        <v>ESQUERDO</v>
      </c>
      <c r="I61" s="87">
        <f t="shared" si="34"/>
        <v>13</v>
      </c>
      <c r="J61" s="603">
        <f t="shared" si="37"/>
        <v>1.8</v>
      </c>
      <c r="K61" s="603">
        <f t="shared" si="35"/>
        <v>23.4</v>
      </c>
      <c r="L61" s="603">
        <v>0.05</v>
      </c>
      <c r="M61" s="620">
        <f t="shared" si="39"/>
        <v>1.17</v>
      </c>
      <c r="N61" s="636"/>
    </row>
    <row r="62" spans="1:15" s="601" customFormat="1" ht="12" customHeight="1">
      <c r="A62" s="329">
        <f t="shared" ref="A62:H62" si="41">A45</f>
        <v>0</v>
      </c>
      <c r="B62" s="329" t="str">
        <f t="shared" si="41"/>
        <v>+</v>
      </c>
      <c r="C62" s="669">
        <f t="shared" si="41"/>
        <v>0</v>
      </c>
      <c r="D62" s="329">
        <f t="shared" si="41"/>
        <v>1</v>
      </c>
      <c r="E62" s="669" t="str">
        <f t="shared" si="41"/>
        <v>+</v>
      </c>
      <c r="F62" s="669">
        <f t="shared" si="41"/>
        <v>0</v>
      </c>
      <c r="G62" s="669" t="str">
        <f t="shared" si="41"/>
        <v>RUA VEREADOR FLÁVIO ROCHA</v>
      </c>
      <c r="H62" s="669" t="str">
        <f t="shared" si="41"/>
        <v>DIREITO</v>
      </c>
      <c r="I62" s="87">
        <f t="shared" si="34"/>
        <v>20</v>
      </c>
      <c r="J62" s="603">
        <f t="shared" si="37"/>
        <v>1.5</v>
      </c>
      <c r="K62" s="603">
        <f t="shared" si="35"/>
        <v>30</v>
      </c>
      <c r="L62" s="603">
        <v>0.05</v>
      </c>
      <c r="M62" s="620">
        <f t="shared" si="39"/>
        <v>1.5</v>
      </c>
      <c r="N62" s="636"/>
    </row>
    <row r="63" spans="1:15" s="601" customFormat="1" ht="12" customHeight="1">
      <c r="A63" s="329">
        <f t="shared" ref="A63:H63" si="42">A46</f>
        <v>1</v>
      </c>
      <c r="B63" s="329" t="str">
        <f t="shared" si="42"/>
        <v>+</v>
      </c>
      <c r="C63" s="669">
        <f t="shared" si="42"/>
        <v>9</v>
      </c>
      <c r="D63" s="329">
        <f t="shared" si="42"/>
        <v>3</v>
      </c>
      <c r="E63" s="669" t="str">
        <f t="shared" si="42"/>
        <v>+</v>
      </c>
      <c r="F63" s="669">
        <f t="shared" si="42"/>
        <v>5</v>
      </c>
      <c r="G63" s="669" t="str">
        <f t="shared" si="42"/>
        <v>RUA VEREADOR FLÁVIO ROCHA</v>
      </c>
      <c r="H63" s="669" t="str">
        <f t="shared" si="42"/>
        <v>DIREITO</v>
      </c>
      <c r="I63" s="87">
        <f t="shared" si="34"/>
        <v>36</v>
      </c>
      <c r="J63" s="603">
        <f t="shared" si="37"/>
        <v>2.2000000000000002</v>
      </c>
      <c r="K63" s="603">
        <f t="shared" si="35"/>
        <v>79.2</v>
      </c>
      <c r="L63" s="603">
        <v>0.05</v>
      </c>
      <c r="M63" s="620">
        <f>TRUNC(K63*L63,2)</f>
        <v>3.96</v>
      </c>
      <c r="N63" s="636"/>
    </row>
    <row r="64" spans="1:15" s="601" customFormat="1" ht="12" customHeight="1">
      <c r="A64" s="329">
        <f t="shared" ref="A64:H64" si="43">A47</f>
        <v>3</v>
      </c>
      <c r="B64" s="329" t="str">
        <f t="shared" si="43"/>
        <v>+</v>
      </c>
      <c r="C64" s="669">
        <f t="shared" si="43"/>
        <v>12</v>
      </c>
      <c r="D64" s="329">
        <f t="shared" si="43"/>
        <v>7</v>
      </c>
      <c r="E64" s="669" t="str">
        <f t="shared" si="43"/>
        <v>+</v>
      </c>
      <c r="F64" s="669">
        <f t="shared" si="43"/>
        <v>3</v>
      </c>
      <c r="G64" s="669" t="str">
        <f t="shared" si="43"/>
        <v>RUA VEREADOR FLÁVIO ROCHA</v>
      </c>
      <c r="H64" s="669" t="str">
        <f t="shared" si="43"/>
        <v>DIREITO</v>
      </c>
      <c r="I64" s="87">
        <f t="shared" si="34"/>
        <v>71</v>
      </c>
      <c r="J64" s="603">
        <f t="shared" si="37"/>
        <v>2.2000000000000002</v>
      </c>
      <c r="K64" s="603">
        <f t="shared" si="35"/>
        <v>156.19999999999999</v>
      </c>
      <c r="L64" s="603">
        <v>0.05</v>
      </c>
      <c r="M64" s="620">
        <f>TRUNC(K64*L64,2)</f>
        <v>7.81</v>
      </c>
      <c r="N64" s="636"/>
    </row>
    <row r="65" spans="1:14" s="601" customFormat="1" ht="12" customHeight="1">
      <c r="A65" s="329">
        <f t="shared" ref="A65:H65" si="44">A48</f>
        <v>7</v>
      </c>
      <c r="B65" s="329" t="str">
        <f t="shared" si="44"/>
        <v>+</v>
      </c>
      <c r="C65" s="669">
        <f t="shared" si="44"/>
        <v>11</v>
      </c>
      <c r="D65" s="329">
        <f t="shared" si="44"/>
        <v>9</v>
      </c>
      <c r="E65" s="669" t="str">
        <f t="shared" si="44"/>
        <v>+</v>
      </c>
      <c r="F65" s="669">
        <f t="shared" si="44"/>
        <v>15</v>
      </c>
      <c r="G65" s="669" t="str">
        <f t="shared" si="44"/>
        <v>RUA VEREADOR FLÁVIO ROCHA</v>
      </c>
      <c r="H65" s="669" t="str">
        <f t="shared" si="44"/>
        <v>DIREITO</v>
      </c>
      <c r="I65" s="87">
        <f t="shared" si="34"/>
        <v>44</v>
      </c>
      <c r="J65" s="603">
        <f t="shared" si="37"/>
        <v>2.5499999999999998</v>
      </c>
      <c r="K65" s="603">
        <f t="shared" si="35"/>
        <v>112.2</v>
      </c>
      <c r="L65" s="603">
        <v>0.05</v>
      </c>
      <c r="M65" s="620">
        <f t="shared" ref="M65:M67" si="45">TRUNC(K65*L65,2)</f>
        <v>5.61</v>
      </c>
      <c r="N65" s="636"/>
    </row>
    <row r="66" spans="1:14" s="601" customFormat="1" ht="12" customHeight="1">
      <c r="A66" s="329">
        <f t="shared" ref="A66:H66" si="46">A49</f>
        <v>10</v>
      </c>
      <c r="B66" s="329" t="str">
        <f t="shared" si="46"/>
        <v>+</v>
      </c>
      <c r="C66" s="669">
        <f t="shared" si="46"/>
        <v>2</v>
      </c>
      <c r="D66" s="329">
        <f t="shared" si="46"/>
        <v>16</v>
      </c>
      <c r="E66" s="669" t="str">
        <f t="shared" si="46"/>
        <v>+</v>
      </c>
      <c r="F66" s="669">
        <f t="shared" si="46"/>
        <v>13</v>
      </c>
      <c r="G66" s="669" t="str">
        <f t="shared" si="46"/>
        <v>RUA VEREADOR FLÁVIO ROCHA</v>
      </c>
      <c r="H66" s="669" t="str">
        <f t="shared" si="46"/>
        <v>DIREITO</v>
      </c>
      <c r="I66" s="87">
        <f t="shared" si="34"/>
        <v>131</v>
      </c>
      <c r="J66" s="603">
        <f t="shared" si="37"/>
        <v>1.5</v>
      </c>
      <c r="K66" s="603">
        <f t="shared" si="35"/>
        <v>196.5</v>
      </c>
      <c r="L66" s="603">
        <v>0.05</v>
      </c>
      <c r="M66" s="620">
        <f t="shared" si="45"/>
        <v>9.82</v>
      </c>
      <c r="N66" s="636"/>
    </row>
    <row r="67" spans="1:14" s="601" customFormat="1" ht="12" customHeight="1">
      <c r="A67" s="329">
        <f t="shared" ref="A67:H67" si="47">A50</f>
        <v>0</v>
      </c>
      <c r="B67" s="329" t="str">
        <f t="shared" si="47"/>
        <v>+</v>
      </c>
      <c r="C67" s="669">
        <f t="shared" si="47"/>
        <v>0</v>
      </c>
      <c r="D67" s="329">
        <f t="shared" si="47"/>
        <v>1</v>
      </c>
      <c r="E67" s="669" t="str">
        <f t="shared" si="47"/>
        <v>+</v>
      </c>
      <c r="F67" s="669">
        <f t="shared" si="47"/>
        <v>10</v>
      </c>
      <c r="G67" s="669" t="str">
        <f t="shared" si="47"/>
        <v>RUA VEREADOR FLÁVIO ROCHA</v>
      </c>
      <c r="H67" s="669" t="str">
        <f t="shared" si="47"/>
        <v>ESQUERDO</v>
      </c>
      <c r="I67" s="87">
        <f t="shared" si="34"/>
        <v>30</v>
      </c>
      <c r="J67" s="603">
        <f t="shared" si="37"/>
        <v>1.5</v>
      </c>
      <c r="K67" s="603">
        <f t="shared" si="35"/>
        <v>45</v>
      </c>
      <c r="L67" s="603">
        <v>0.05</v>
      </c>
      <c r="M67" s="620">
        <f t="shared" si="45"/>
        <v>2.25</v>
      </c>
      <c r="N67" s="636"/>
    </row>
    <row r="68" spans="1:14" s="601" customFormat="1" ht="12" customHeight="1">
      <c r="A68" s="329">
        <f t="shared" ref="A68:H68" si="48">A51</f>
        <v>1</v>
      </c>
      <c r="B68" s="329" t="str">
        <f t="shared" si="48"/>
        <v>+</v>
      </c>
      <c r="C68" s="669">
        <f t="shared" si="48"/>
        <v>18</v>
      </c>
      <c r="D68" s="329">
        <f t="shared" si="48"/>
        <v>7</v>
      </c>
      <c r="E68" s="669" t="str">
        <f t="shared" si="48"/>
        <v>+</v>
      </c>
      <c r="F68" s="669">
        <f t="shared" si="48"/>
        <v>3</v>
      </c>
      <c r="G68" s="669" t="str">
        <f t="shared" si="48"/>
        <v>RUA VEREADOR FLÁVIO ROCHA</v>
      </c>
      <c r="H68" s="669" t="str">
        <f t="shared" si="48"/>
        <v>ESQUERDO</v>
      </c>
      <c r="I68" s="87">
        <f t="shared" ref="I68:I77" si="49">(D68*20+F68)-(A68*20+C68)</f>
        <v>105</v>
      </c>
      <c r="J68" s="603">
        <f t="shared" si="37"/>
        <v>2</v>
      </c>
      <c r="K68" s="603">
        <f t="shared" ref="K68:K77" si="50">TRUNC(I68*J68,2)</f>
        <v>210</v>
      </c>
      <c r="L68" s="603">
        <v>0.05</v>
      </c>
      <c r="M68" s="620">
        <f>TRUNC(K68*L68,2)</f>
        <v>10.5</v>
      </c>
      <c r="N68" s="636"/>
    </row>
    <row r="69" spans="1:14" s="601" customFormat="1" ht="12" customHeight="1">
      <c r="A69" s="329">
        <f t="shared" ref="A69:H69" si="51">A52</f>
        <v>7</v>
      </c>
      <c r="B69" s="329" t="str">
        <f t="shared" si="51"/>
        <v>+</v>
      </c>
      <c r="C69" s="669">
        <f t="shared" si="51"/>
        <v>11</v>
      </c>
      <c r="D69" s="329">
        <f t="shared" si="51"/>
        <v>12</v>
      </c>
      <c r="E69" s="669" t="str">
        <f t="shared" si="51"/>
        <v>+</v>
      </c>
      <c r="F69" s="669">
        <f t="shared" si="51"/>
        <v>7</v>
      </c>
      <c r="G69" s="669" t="str">
        <f t="shared" si="51"/>
        <v>RUA VEREADOR FLÁVIO ROCHA</v>
      </c>
      <c r="H69" s="669" t="str">
        <f t="shared" si="51"/>
        <v>ESQUERDO</v>
      </c>
      <c r="I69" s="87">
        <f t="shared" si="49"/>
        <v>96</v>
      </c>
      <c r="J69" s="603">
        <f t="shared" si="37"/>
        <v>1.4</v>
      </c>
      <c r="K69" s="603">
        <f t="shared" si="50"/>
        <v>134.4</v>
      </c>
      <c r="L69" s="603">
        <v>0.05</v>
      </c>
      <c r="M69" s="620">
        <f>TRUNC(K69*L69,2)</f>
        <v>6.72</v>
      </c>
      <c r="N69" s="636"/>
    </row>
    <row r="70" spans="1:14" s="601" customFormat="1" ht="12" customHeight="1">
      <c r="A70" s="329">
        <f t="shared" ref="A70:H70" si="52">A53</f>
        <v>12</v>
      </c>
      <c r="B70" s="329" t="str">
        <f t="shared" si="52"/>
        <v>+</v>
      </c>
      <c r="C70" s="669">
        <f t="shared" si="52"/>
        <v>15</v>
      </c>
      <c r="D70" s="329">
        <f t="shared" si="52"/>
        <v>16</v>
      </c>
      <c r="E70" s="669" t="str">
        <f t="shared" si="52"/>
        <v>+</v>
      </c>
      <c r="F70" s="669">
        <f t="shared" si="52"/>
        <v>13</v>
      </c>
      <c r="G70" s="669" t="str">
        <f t="shared" si="52"/>
        <v>RUA VEREADOR FLÁVIO ROCHA</v>
      </c>
      <c r="H70" s="669" t="str">
        <f t="shared" si="52"/>
        <v>ESQUERDO</v>
      </c>
      <c r="I70" s="87">
        <f t="shared" si="49"/>
        <v>78</v>
      </c>
      <c r="J70" s="603">
        <f t="shared" si="37"/>
        <v>1.4</v>
      </c>
      <c r="K70" s="603">
        <f t="shared" si="50"/>
        <v>109.2</v>
      </c>
      <c r="L70" s="603">
        <v>0.05</v>
      </c>
      <c r="M70" s="620">
        <f t="shared" ref="M70:M72" si="53">TRUNC(K70*L70,2)</f>
        <v>5.46</v>
      </c>
      <c r="N70" s="636"/>
    </row>
    <row r="71" spans="1:14" s="601" customFormat="1" ht="12" customHeight="1">
      <c r="A71" s="329">
        <f>A58</f>
        <v>0</v>
      </c>
      <c r="B71" s="329" t="str">
        <f t="shared" ref="B71:H71" si="54">B58</f>
        <v>+</v>
      </c>
      <c r="C71" s="669">
        <f t="shared" si="54"/>
        <v>15</v>
      </c>
      <c r="D71" s="329">
        <f t="shared" si="54"/>
        <v>4</v>
      </c>
      <c r="E71" s="329" t="str">
        <f t="shared" si="54"/>
        <v>+</v>
      </c>
      <c r="F71" s="669">
        <f t="shared" si="54"/>
        <v>17</v>
      </c>
      <c r="G71" s="329" t="str">
        <f t="shared" si="54"/>
        <v>RUA JOSÉ MARQUES</v>
      </c>
      <c r="H71" s="329" t="str">
        <f t="shared" si="54"/>
        <v>DIREITO</v>
      </c>
      <c r="I71" s="87">
        <f t="shared" si="49"/>
        <v>82</v>
      </c>
      <c r="J71" s="603">
        <f>J58-0.45</f>
        <v>1.45</v>
      </c>
      <c r="K71" s="603">
        <f t="shared" si="50"/>
        <v>118.9</v>
      </c>
      <c r="L71" s="638">
        <v>2.5000000000000001E-2</v>
      </c>
      <c r="M71" s="620">
        <f t="shared" si="53"/>
        <v>2.97</v>
      </c>
      <c r="N71" s="636"/>
    </row>
    <row r="72" spans="1:14" s="601" customFormat="1" ht="12" customHeight="1">
      <c r="A72" s="329">
        <f t="shared" ref="A72:H72" si="55">A59</f>
        <v>0</v>
      </c>
      <c r="B72" s="329" t="str">
        <f t="shared" si="55"/>
        <v>+</v>
      </c>
      <c r="C72" s="669">
        <f t="shared" si="55"/>
        <v>0</v>
      </c>
      <c r="D72" s="329">
        <f t="shared" si="55"/>
        <v>0</v>
      </c>
      <c r="E72" s="329" t="str">
        <f t="shared" si="55"/>
        <v>+</v>
      </c>
      <c r="F72" s="669">
        <f t="shared" si="55"/>
        <v>5</v>
      </c>
      <c r="G72" s="329" t="str">
        <f t="shared" si="55"/>
        <v>RUA JOSÉ MARQUES</v>
      </c>
      <c r="H72" s="329" t="str">
        <f t="shared" si="55"/>
        <v>ESQUERDO</v>
      </c>
      <c r="I72" s="87">
        <f t="shared" si="49"/>
        <v>5</v>
      </c>
      <c r="J72" s="603">
        <f t="shared" ref="J72:J83" si="56">J59-0.45</f>
        <v>0.90000000000000013</v>
      </c>
      <c r="K72" s="603">
        <f t="shared" si="50"/>
        <v>4.5</v>
      </c>
      <c r="L72" s="638">
        <v>2.5000000000000001E-2</v>
      </c>
      <c r="M72" s="620">
        <f t="shared" si="53"/>
        <v>0.11</v>
      </c>
      <c r="N72" s="636"/>
    </row>
    <row r="73" spans="1:14" s="601" customFormat="1" ht="12" customHeight="1">
      <c r="A73" s="329">
        <f t="shared" ref="A73:H73" si="57">A60</f>
        <v>0</v>
      </c>
      <c r="B73" s="329" t="str">
        <f t="shared" si="57"/>
        <v>+</v>
      </c>
      <c r="C73" s="669">
        <f t="shared" si="57"/>
        <v>13</v>
      </c>
      <c r="D73" s="329">
        <f t="shared" si="57"/>
        <v>3</v>
      </c>
      <c r="E73" s="329" t="str">
        <f t="shared" si="57"/>
        <v>+</v>
      </c>
      <c r="F73" s="669">
        <f t="shared" si="57"/>
        <v>12</v>
      </c>
      <c r="G73" s="329" t="str">
        <f t="shared" si="57"/>
        <v>RUA JOSÉ MARQUES</v>
      </c>
      <c r="H73" s="329" t="str">
        <f t="shared" si="57"/>
        <v>ESQUERDO</v>
      </c>
      <c r="I73" s="87">
        <f t="shared" si="49"/>
        <v>59</v>
      </c>
      <c r="J73" s="603">
        <f t="shared" si="56"/>
        <v>1.2</v>
      </c>
      <c r="K73" s="603">
        <f t="shared" si="50"/>
        <v>70.8</v>
      </c>
      <c r="L73" s="638">
        <v>2.5000000000000001E-2</v>
      </c>
      <c r="M73" s="620">
        <f>TRUNC(K73*L73,2)</f>
        <v>1.77</v>
      </c>
      <c r="N73" s="636"/>
    </row>
    <row r="74" spans="1:14" s="601" customFormat="1" ht="12" customHeight="1">
      <c r="A74" s="329">
        <f t="shared" ref="A74:H74" si="58">A61</f>
        <v>4</v>
      </c>
      <c r="B74" s="329" t="str">
        <f t="shared" si="58"/>
        <v>+</v>
      </c>
      <c r="C74" s="669">
        <f t="shared" si="58"/>
        <v>4</v>
      </c>
      <c r="D74" s="329">
        <f t="shared" si="58"/>
        <v>4</v>
      </c>
      <c r="E74" s="329" t="str">
        <f t="shared" si="58"/>
        <v>+</v>
      </c>
      <c r="F74" s="669">
        <f t="shared" si="58"/>
        <v>17</v>
      </c>
      <c r="G74" s="329" t="str">
        <f t="shared" si="58"/>
        <v>RUA JOSÉ MARQUES</v>
      </c>
      <c r="H74" s="329" t="str">
        <f t="shared" si="58"/>
        <v>ESQUERDO</v>
      </c>
      <c r="I74" s="87">
        <f t="shared" si="49"/>
        <v>13</v>
      </c>
      <c r="J74" s="603">
        <f t="shared" si="56"/>
        <v>1.35</v>
      </c>
      <c r="K74" s="603">
        <f t="shared" si="50"/>
        <v>17.55</v>
      </c>
      <c r="L74" s="638">
        <v>2.5000000000000001E-2</v>
      </c>
      <c r="M74" s="620">
        <f>TRUNC(K74*L74,2)</f>
        <v>0.43</v>
      </c>
      <c r="N74" s="636"/>
    </row>
    <row r="75" spans="1:14" s="601" customFormat="1" ht="12" customHeight="1">
      <c r="A75" s="329">
        <f t="shared" ref="A75:H75" si="59">A62</f>
        <v>0</v>
      </c>
      <c r="B75" s="329" t="str">
        <f t="shared" si="59"/>
        <v>+</v>
      </c>
      <c r="C75" s="669">
        <f t="shared" si="59"/>
        <v>0</v>
      </c>
      <c r="D75" s="329">
        <f t="shared" si="59"/>
        <v>1</v>
      </c>
      <c r="E75" s="329" t="str">
        <f t="shared" si="59"/>
        <v>+</v>
      </c>
      <c r="F75" s="669">
        <f t="shared" si="59"/>
        <v>0</v>
      </c>
      <c r="G75" s="329" t="str">
        <f t="shared" si="59"/>
        <v>RUA VEREADOR FLÁVIO ROCHA</v>
      </c>
      <c r="H75" s="329" t="str">
        <f t="shared" si="59"/>
        <v>DIREITO</v>
      </c>
      <c r="I75" s="87">
        <f t="shared" si="49"/>
        <v>20</v>
      </c>
      <c r="J75" s="603">
        <f t="shared" si="56"/>
        <v>1.05</v>
      </c>
      <c r="K75" s="603">
        <f t="shared" si="50"/>
        <v>21</v>
      </c>
      <c r="L75" s="638">
        <v>2.5000000000000001E-2</v>
      </c>
      <c r="M75" s="620">
        <f t="shared" ref="M75:M77" si="60">TRUNC(K75*L75,2)</f>
        <v>0.52</v>
      </c>
      <c r="N75" s="636"/>
    </row>
    <row r="76" spans="1:14" s="601" customFormat="1" ht="12" customHeight="1">
      <c r="A76" s="329">
        <f t="shared" ref="A76:H76" si="61">A63</f>
        <v>1</v>
      </c>
      <c r="B76" s="329" t="str">
        <f t="shared" si="61"/>
        <v>+</v>
      </c>
      <c r="C76" s="669">
        <f t="shared" si="61"/>
        <v>9</v>
      </c>
      <c r="D76" s="329">
        <f t="shared" si="61"/>
        <v>3</v>
      </c>
      <c r="E76" s="329" t="str">
        <f t="shared" si="61"/>
        <v>+</v>
      </c>
      <c r="F76" s="669">
        <f t="shared" si="61"/>
        <v>5</v>
      </c>
      <c r="G76" s="329" t="str">
        <f t="shared" si="61"/>
        <v>RUA VEREADOR FLÁVIO ROCHA</v>
      </c>
      <c r="H76" s="329" t="str">
        <f t="shared" si="61"/>
        <v>DIREITO</v>
      </c>
      <c r="I76" s="87">
        <f t="shared" si="49"/>
        <v>36</v>
      </c>
      <c r="J76" s="603">
        <f t="shared" si="56"/>
        <v>1.7500000000000002</v>
      </c>
      <c r="K76" s="603">
        <f t="shared" si="50"/>
        <v>63</v>
      </c>
      <c r="L76" s="638">
        <v>2.5000000000000001E-2</v>
      </c>
      <c r="M76" s="620">
        <f t="shared" si="60"/>
        <v>1.57</v>
      </c>
      <c r="N76" s="636"/>
    </row>
    <row r="77" spans="1:14" s="601" customFormat="1" ht="12" customHeight="1">
      <c r="A77" s="329">
        <f t="shared" ref="A77:H77" si="62">A64</f>
        <v>3</v>
      </c>
      <c r="B77" s="329" t="str">
        <f t="shared" si="62"/>
        <v>+</v>
      </c>
      <c r="C77" s="669">
        <f t="shared" si="62"/>
        <v>12</v>
      </c>
      <c r="D77" s="329">
        <f t="shared" si="62"/>
        <v>7</v>
      </c>
      <c r="E77" s="329" t="str">
        <f t="shared" si="62"/>
        <v>+</v>
      </c>
      <c r="F77" s="669">
        <f t="shared" si="62"/>
        <v>3</v>
      </c>
      <c r="G77" s="329" t="str">
        <f t="shared" si="62"/>
        <v>RUA VEREADOR FLÁVIO ROCHA</v>
      </c>
      <c r="H77" s="329" t="str">
        <f t="shared" si="62"/>
        <v>DIREITO</v>
      </c>
      <c r="I77" s="87">
        <f t="shared" si="49"/>
        <v>71</v>
      </c>
      <c r="J77" s="603">
        <f t="shared" si="56"/>
        <v>1.7500000000000002</v>
      </c>
      <c r="K77" s="603">
        <f t="shared" si="50"/>
        <v>124.25</v>
      </c>
      <c r="L77" s="638">
        <v>2.5000000000000001E-2</v>
      </c>
      <c r="M77" s="620">
        <f t="shared" si="60"/>
        <v>3.1</v>
      </c>
      <c r="N77" s="636"/>
    </row>
    <row r="78" spans="1:14" s="601" customFormat="1" ht="12" customHeight="1">
      <c r="A78" s="329">
        <f t="shared" ref="A78:H78" si="63">A65</f>
        <v>7</v>
      </c>
      <c r="B78" s="329" t="str">
        <f t="shared" si="63"/>
        <v>+</v>
      </c>
      <c r="C78" s="669">
        <f t="shared" si="63"/>
        <v>11</v>
      </c>
      <c r="D78" s="329">
        <f t="shared" si="63"/>
        <v>9</v>
      </c>
      <c r="E78" s="329" t="str">
        <f t="shared" si="63"/>
        <v>+</v>
      </c>
      <c r="F78" s="669">
        <f t="shared" si="63"/>
        <v>15</v>
      </c>
      <c r="G78" s="329" t="str">
        <f t="shared" si="63"/>
        <v>RUA VEREADOR FLÁVIO ROCHA</v>
      </c>
      <c r="H78" s="329" t="str">
        <f t="shared" si="63"/>
        <v>DIREITO</v>
      </c>
      <c r="I78" s="87">
        <f t="shared" ref="I78:I82" si="64">(D78*20+F78)-(A78*20+C78)</f>
        <v>44</v>
      </c>
      <c r="J78" s="603">
        <f t="shared" si="56"/>
        <v>2.0999999999999996</v>
      </c>
      <c r="K78" s="603">
        <f t="shared" ref="K78:K83" si="65">TRUNC(I78*J78,2)</f>
        <v>92.4</v>
      </c>
      <c r="L78" s="638">
        <v>2.5000000000000001E-2</v>
      </c>
      <c r="M78" s="620">
        <f>TRUNC(K78*L78,2)</f>
        <v>2.31</v>
      </c>
      <c r="N78" s="636"/>
    </row>
    <row r="79" spans="1:14" s="601" customFormat="1" ht="12" customHeight="1">
      <c r="A79" s="329">
        <f t="shared" ref="A79:H79" si="66">A66</f>
        <v>10</v>
      </c>
      <c r="B79" s="329" t="str">
        <f t="shared" si="66"/>
        <v>+</v>
      </c>
      <c r="C79" s="669">
        <f t="shared" si="66"/>
        <v>2</v>
      </c>
      <c r="D79" s="329">
        <f t="shared" si="66"/>
        <v>16</v>
      </c>
      <c r="E79" s="329" t="str">
        <f t="shared" si="66"/>
        <v>+</v>
      </c>
      <c r="F79" s="669">
        <f t="shared" si="66"/>
        <v>13</v>
      </c>
      <c r="G79" s="329" t="str">
        <f t="shared" si="66"/>
        <v>RUA VEREADOR FLÁVIO ROCHA</v>
      </c>
      <c r="H79" s="329" t="str">
        <f t="shared" si="66"/>
        <v>DIREITO</v>
      </c>
      <c r="I79" s="87">
        <f t="shared" ref="I79" si="67">(D79*20+F79)-(A79*20+C79)</f>
        <v>131</v>
      </c>
      <c r="J79" s="603">
        <f t="shared" si="56"/>
        <v>1.05</v>
      </c>
      <c r="K79" s="603">
        <f t="shared" si="65"/>
        <v>137.55000000000001</v>
      </c>
      <c r="L79" s="638">
        <v>2.5000000000000001E-2</v>
      </c>
      <c r="M79" s="620">
        <f>TRUNC(K79*L79,2)</f>
        <v>3.43</v>
      </c>
      <c r="N79" s="636"/>
    </row>
    <row r="80" spans="1:14" s="601" customFormat="1" ht="12" customHeight="1">
      <c r="A80" s="329">
        <f t="shared" ref="A80:H80" si="68">A67</f>
        <v>0</v>
      </c>
      <c r="B80" s="329" t="str">
        <f t="shared" si="68"/>
        <v>+</v>
      </c>
      <c r="C80" s="669">
        <f t="shared" si="68"/>
        <v>0</v>
      </c>
      <c r="D80" s="329">
        <f t="shared" si="68"/>
        <v>1</v>
      </c>
      <c r="E80" s="329" t="str">
        <f t="shared" si="68"/>
        <v>+</v>
      </c>
      <c r="F80" s="669">
        <f t="shared" si="68"/>
        <v>10</v>
      </c>
      <c r="G80" s="329" t="str">
        <f t="shared" si="68"/>
        <v>RUA VEREADOR FLÁVIO ROCHA</v>
      </c>
      <c r="H80" s="329" t="str">
        <f t="shared" si="68"/>
        <v>ESQUERDO</v>
      </c>
      <c r="I80" s="87">
        <f t="shared" si="64"/>
        <v>30</v>
      </c>
      <c r="J80" s="603">
        <f t="shared" si="56"/>
        <v>1.05</v>
      </c>
      <c r="K80" s="603">
        <f t="shared" si="65"/>
        <v>31.5</v>
      </c>
      <c r="L80" s="638">
        <v>2.5000000000000001E-2</v>
      </c>
      <c r="M80" s="620">
        <f t="shared" ref="M80:M82" si="69">TRUNC(K80*L80,2)</f>
        <v>0.78</v>
      </c>
      <c r="N80" s="636"/>
    </row>
    <row r="81" spans="1:15" s="601" customFormat="1" ht="12" customHeight="1">
      <c r="A81" s="329">
        <f t="shared" ref="A81:H81" si="70">A68</f>
        <v>1</v>
      </c>
      <c r="B81" s="329" t="str">
        <f t="shared" si="70"/>
        <v>+</v>
      </c>
      <c r="C81" s="669">
        <f t="shared" si="70"/>
        <v>18</v>
      </c>
      <c r="D81" s="329">
        <f t="shared" si="70"/>
        <v>7</v>
      </c>
      <c r="E81" s="329" t="str">
        <f t="shared" si="70"/>
        <v>+</v>
      </c>
      <c r="F81" s="669">
        <f t="shared" si="70"/>
        <v>3</v>
      </c>
      <c r="G81" s="329" t="str">
        <f t="shared" si="70"/>
        <v>RUA VEREADOR FLÁVIO ROCHA</v>
      </c>
      <c r="H81" s="329" t="str">
        <f t="shared" si="70"/>
        <v>ESQUERDO</v>
      </c>
      <c r="I81" s="87">
        <f t="shared" ref="I81" si="71">(D81*20+F81)-(A81*20+C81)</f>
        <v>105</v>
      </c>
      <c r="J81" s="603">
        <f t="shared" si="56"/>
        <v>1.55</v>
      </c>
      <c r="K81" s="603">
        <f t="shared" si="65"/>
        <v>162.75</v>
      </c>
      <c r="L81" s="638">
        <v>2.5000000000000001E-2</v>
      </c>
      <c r="M81" s="620">
        <f t="shared" si="69"/>
        <v>4.0599999999999996</v>
      </c>
      <c r="N81" s="636"/>
    </row>
    <row r="82" spans="1:15" s="601" customFormat="1" ht="12" customHeight="1">
      <c r="A82" s="329">
        <f t="shared" ref="A82:H82" si="72">A69</f>
        <v>7</v>
      </c>
      <c r="B82" s="329" t="str">
        <f t="shared" si="72"/>
        <v>+</v>
      </c>
      <c r="C82" s="669">
        <f t="shared" si="72"/>
        <v>11</v>
      </c>
      <c r="D82" s="329">
        <f t="shared" si="72"/>
        <v>12</v>
      </c>
      <c r="E82" s="329" t="str">
        <f t="shared" si="72"/>
        <v>+</v>
      </c>
      <c r="F82" s="669">
        <f t="shared" si="72"/>
        <v>7</v>
      </c>
      <c r="G82" s="329" t="str">
        <f t="shared" si="72"/>
        <v>RUA VEREADOR FLÁVIO ROCHA</v>
      </c>
      <c r="H82" s="329" t="str">
        <f t="shared" si="72"/>
        <v>ESQUERDO</v>
      </c>
      <c r="I82" s="87">
        <f t="shared" si="64"/>
        <v>96</v>
      </c>
      <c r="J82" s="603">
        <f t="shared" si="56"/>
        <v>0.95</v>
      </c>
      <c r="K82" s="603">
        <f t="shared" si="65"/>
        <v>91.2</v>
      </c>
      <c r="L82" s="603">
        <v>0.05</v>
      </c>
      <c r="M82" s="620">
        <f t="shared" si="69"/>
        <v>4.5599999999999996</v>
      </c>
      <c r="N82" s="636"/>
    </row>
    <row r="83" spans="1:15" s="601" customFormat="1" ht="12" customHeight="1">
      <c r="A83" s="329">
        <f t="shared" ref="A83:H83" si="73">A70</f>
        <v>12</v>
      </c>
      <c r="B83" s="329" t="str">
        <f t="shared" si="73"/>
        <v>+</v>
      </c>
      <c r="C83" s="669">
        <f t="shared" si="73"/>
        <v>15</v>
      </c>
      <c r="D83" s="329">
        <f t="shared" si="73"/>
        <v>16</v>
      </c>
      <c r="E83" s="329" t="str">
        <f t="shared" si="73"/>
        <v>+</v>
      </c>
      <c r="F83" s="669">
        <f t="shared" si="73"/>
        <v>13</v>
      </c>
      <c r="G83" s="329" t="str">
        <f t="shared" si="73"/>
        <v>RUA VEREADOR FLÁVIO ROCHA</v>
      </c>
      <c r="H83" s="329" t="str">
        <f t="shared" si="73"/>
        <v>ESQUERDO</v>
      </c>
      <c r="I83" s="87">
        <f t="shared" ref="I83" si="74">(D83*20+F83)-(A83*20+C83)</f>
        <v>78</v>
      </c>
      <c r="J83" s="603">
        <f t="shared" si="56"/>
        <v>0.95</v>
      </c>
      <c r="K83" s="603">
        <f t="shared" si="65"/>
        <v>74.099999999999994</v>
      </c>
      <c r="L83" s="638">
        <v>2.5000000000000001E-2</v>
      </c>
      <c r="M83" s="620">
        <f>TRUNC(K83*L83,2)</f>
        <v>1.85</v>
      </c>
      <c r="N83" s="636"/>
    </row>
    <row r="84" spans="1:15" s="36" customFormat="1" ht="12" customHeight="1">
      <c r="A84" s="863" t="s">
        <v>681</v>
      </c>
      <c r="B84" s="864"/>
      <c r="C84" s="864"/>
      <c r="D84" s="864"/>
      <c r="E84" s="864"/>
      <c r="F84" s="864"/>
      <c r="G84" s="864"/>
      <c r="H84" s="864"/>
      <c r="I84" s="864"/>
      <c r="J84" s="864"/>
      <c r="K84" s="864"/>
      <c r="L84" s="865"/>
      <c r="M84" s="644">
        <f>SUM(M58:M83)</f>
        <v>95.24</v>
      </c>
      <c r="O84" s="354"/>
    </row>
    <row r="85" spans="1:15" ht="12" customHeight="1">
      <c r="A85" s="616"/>
      <c r="B85" s="617"/>
      <c r="C85" s="617"/>
      <c r="D85" s="617"/>
      <c r="E85" s="617"/>
      <c r="F85" s="617"/>
      <c r="G85" s="617"/>
      <c r="H85" s="617"/>
      <c r="I85" s="618"/>
      <c r="J85" s="618"/>
      <c r="K85" s="617"/>
      <c r="L85" s="617"/>
      <c r="M85" s="619"/>
    </row>
    <row r="86" spans="1:15" ht="12" customHeight="1">
      <c r="A86" s="866" t="s">
        <v>686</v>
      </c>
      <c r="B86" s="867"/>
      <c r="C86" s="867"/>
      <c r="D86" s="867"/>
      <c r="E86" s="867"/>
      <c r="F86" s="867"/>
      <c r="G86" s="867"/>
      <c r="H86" s="867"/>
      <c r="I86" s="867"/>
      <c r="J86" s="867"/>
      <c r="K86" s="867"/>
      <c r="L86" s="867"/>
      <c r="M86" s="868"/>
    </row>
    <row r="87" spans="1:15" s="601" customFormat="1" ht="12" customHeight="1">
      <c r="A87" s="840" t="s">
        <v>55</v>
      </c>
      <c r="B87" s="840"/>
      <c r="C87" s="840"/>
      <c r="D87" s="840" t="s">
        <v>56</v>
      </c>
      <c r="E87" s="840"/>
      <c r="F87" s="840"/>
      <c r="G87" s="640" t="s">
        <v>427</v>
      </c>
      <c r="H87" s="640" t="s">
        <v>120</v>
      </c>
      <c r="I87" s="602" t="s">
        <v>58</v>
      </c>
      <c r="J87" s="602" t="s">
        <v>54</v>
      </c>
      <c r="K87" s="640" t="s">
        <v>400</v>
      </c>
      <c r="L87" s="640" t="s">
        <v>675</v>
      </c>
      <c r="M87" s="640" t="s">
        <v>144</v>
      </c>
    </row>
    <row r="88" spans="1:15" s="601" customFormat="1" ht="12" customHeight="1">
      <c r="A88" s="329">
        <f>A43</f>
        <v>0</v>
      </c>
      <c r="B88" s="329" t="str">
        <f>B43</f>
        <v>+</v>
      </c>
      <c r="C88" s="669">
        <f>C43</f>
        <v>13</v>
      </c>
      <c r="D88" s="329">
        <v>0</v>
      </c>
      <c r="E88" s="669" t="str">
        <f>E43</f>
        <v>+</v>
      </c>
      <c r="F88" s="669">
        <v>18</v>
      </c>
      <c r="G88" s="669" t="str">
        <f>G43</f>
        <v>RUA JOSÉ MARQUES</v>
      </c>
      <c r="H88" s="669" t="str">
        <f>H43</f>
        <v>ESQUERDO</v>
      </c>
      <c r="I88" s="87">
        <f t="shared" ref="I88:I91" si="75">(D88*20+F88)-(A88*20+C88)</f>
        <v>5</v>
      </c>
      <c r="J88" s="603">
        <v>0.1</v>
      </c>
      <c r="K88" s="603">
        <f t="shared" ref="K88" si="76">TRUNC(I88*J88,2)</f>
        <v>0.5</v>
      </c>
      <c r="L88" s="603">
        <v>0.3</v>
      </c>
      <c r="M88" s="620">
        <f t="shared" ref="M88" si="77">TRUNC(K88*L88,2)</f>
        <v>0.15</v>
      </c>
    </row>
    <row r="89" spans="1:15" s="601" customFormat="1" ht="12" customHeight="1">
      <c r="A89" s="329">
        <v>2</v>
      </c>
      <c r="B89" s="329" t="str">
        <f t="shared" ref="B89:H90" si="78">B44</f>
        <v>+</v>
      </c>
      <c r="C89" s="669">
        <v>0</v>
      </c>
      <c r="D89" s="329">
        <v>2</v>
      </c>
      <c r="E89" s="669" t="str">
        <f t="shared" si="78"/>
        <v>+</v>
      </c>
      <c r="F89" s="669">
        <f t="shared" si="78"/>
        <v>17</v>
      </c>
      <c r="G89" s="669" t="str">
        <f t="shared" si="78"/>
        <v>RUA JOSÉ MARQUES</v>
      </c>
      <c r="H89" s="669" t="str">
        <f t="shared" si="78"/>
        <v>ESQUERDO</v>
      </c>
      <c r="I89" s="87">
        <f t="shared" si="75"/>
        <v>17</v>
      </c>
      <c r="J89" s="603">
        <v>0.1</v>
      </c>
      <c r="K89" s="603">
        <f>TRUNC(I89*J89,2)</f>
        <v>1.7</v>
      </c>
      <c r="L89" s="603">
        <v>0.3</v>
      </c>
      <c r="M89" s="620">
        <f>TRUNC(K89*L89,2)</f>
        <v>0.51</v>
      </c>
    </row>
    <row r="90" spans="1:15" s="601" customFormat="1" ht="12" customHeight="1">
      <c r="A90" s="329">
        <v>4</v>
      </c>
      <c r="B90" s="329" t="str">
        <f t="shared" si="78"/>
        <v>+</v>
      </c>
      <c r="C90" s="669">
        <v>5</v>
      </c>
      <c r="D90" s="329">
        <v>4</v>
      </c>
      <c r="E90" s="669" t="str">
        <f t="shared" si="78"/>
        <v>+</v>
      </c>
      <c r="F90" s="669">
        <v>17</v>
      </c>
      <c r="G90" s="669" t="str">
        <f>G89</f>
        <v>RUA JOSÉ MARQUES</v>
      </c>
      <c r="H90" s="669" t="str">
        <f>H89</f>
        <v>ESQUERDO</v>
      </c>
      <c r="I90" s="87">
        <f t="shared" ref="I90" si="79">(D90*20+F90)-(A90*20+C90)</f>
        <v>12</v>
      </c>
      <c r="J90" s="603">
        <v>0.1</v>
      </c>
      <c r="K90" s="603">
        <f>TRUNC(I90*J90,2)</f>
        <v>1.2</v>
      </c>
      <c r="L90" s="603">
        <v>0.3</v>
      </c>
      <c r="M90" s="620">
        <f>TRUNC(K90*L90,2)</f>
        <v>0.36</v>
      </c>
    </row>
    <row r="91" spans="1:15" s="601" customFormat="1" ht="12" customHeight="1">
      <c r="A91" s="329">
        <f t="shared" ref="A91:H91" si="80">A45</f>
        <v>0</v>
      </c>
      <c r="B91" s="329" t="str">
        <f t="shared" si="80"/>
        <v>+</v>
      </c>
      <c r="C91" s="669">
        <f t="shared" si="80"/>
        <v>0</v>
      </c>
      <c r="D91" s="329">
        <v>0</v>
      </c>
      <c r="E91" s="669" t="str">
        <f t="shared" si="80"/>
        <v>+</v>
      </c>
      <c r="F91" s="669">
        <v>12</v>
      </c>
      <c r="G91" s="669" t="str">
        <f t="shared" si="80"/>
        <v>RUA VEREADOR FLÁVIO ROCHA</v>
      </c>
      <c r="H91" s="669" t="str">
        <f t="shared" si="80"/>
        <v>DIREITO</v>
      </c>
      <c r="I91" s="87">
        <f t="shared" si="75"/>
        <v>12</v>
      </c>
      <c r="J91" s="603">
        <v>0.1</v>
      </c>
      <c r="K91" s="603">
        <f t="shared" ref="K91:K92" si="81">TRUNC(I91*J91,2)</f>
        <v>1.2</v>
      </c>
      <c r="L91" s="603">
        <v>0.3</v>
      </c>
      <c r="M91" s="620">
        <f t="shared" ref="M91:M92" si="82">TRUNC(K91*L91,2)</f>
        <v>0.36</v>
      </c>
    </row>
    <row r="92" spans="1:15" s="601" customFormat="1" ht="12" customHeight="1">
      <c r="A92" s="329">
        <f t="shared" ref="A92:H92" si="83">A46</f>
        <v>1</v>
      </c>
      <c r="B92" s="329" t="str">
        <f t="shared" si="83"/>
        <v>+</v>
      </c>
      <c r="C92" s="669">
        <f t="shared" si="83"/>
        <v>9</v>
      </c>
      <c r="D92" s="329">
        <f t="shared" si="83"/>
        <v>3</v>
      </c>
      <c r="E92" s="669" t="str">
        <f t="shared" si="83"/>
        <v>+</v>
      </c>
      <c r="F92" s="669">
        <f t="shared" si="83"/>
        <v>5</v>
      </c>
      <c r="G92" s="669" t="str">
        <f t="shared" si="83"/>
        <v>RUA VEREADOR FLÁVIO ROCHA</v>
      </c>
      <c r="H92" s="669" t="str">
        <f t="shared" si="83"/>
        <v>DIREITO</v>
      </c>
      <c r="I92" s="87">
        <v>45</v>
      </c>
      <c r="J92" s="603">
        <v>0.1</v>
      </c>
      <c r="K92" s="603">
        <f t="shared" si="81"/>
        <v>4.5</v>
      </c>
      <c r="L92" s="603">
        <v>0.3</v>
      </c>
      <c r="M92" s="620">
        <f t="shared" si="82"/>
        <v>1.35</v>
      </c>
    </row>
    <row r="93" spans="1:15" s="601" customFormat="1" ht="12" customHeight="1">
      <c r="A93" s="329">
        <f t="shared" ref="A93:H93" si="84">A47</f>
        <v>3</v>
      </c>
      <c r="B93" s="329" t="str">
        <f t="shared" si="84"/>
        <v>+</v>
      </c>
      <c r="C93" s="669">
        <f t="shared" si="84"/>
        <v>12</v>
      </c>
      <c r="D93" s="329">
        <f t="shared" si="84"/>
        <v>7</v>
      </c>
      <c r="E93" s="669" t="str">
        <f t="shared" si="84"/>
        <v>+</v>
      </c>
      <c r="F93" s="669">
        <f t="shared" si="84"/>
        <v>3</v>
      </c>
      <c r="G93" s="669" t="str">
        <f t="shared" si="84"/>
        <v>RUA VEREADOR FLÁVIO ROCHA</v>
      </c>
      <c r="H93" s="669" t="str">
        <f t="shared" si="84"/>
        <v>DIREITO</v>
      </c>
      <c r="I93" s="87">
        <v>90</v>
      </c>
      <c r="J93" s="603">
        <v>0.1</v>
      </c>
      <c r="K93" s="603">
        <f>TRUNC(I93*J93,2)</f>
        <v>9</v>
      </c>
      <c r="L93" s="603">
        <v>0.3</v>
      </c>
      <c r="M93" s="620">
        <f>TRUNC(K93*L93,2)</f>
        <v>2.7</v>
      </c>
    </row>
    <row r="94" spans="1:15" s="601" customFormat="1" ht="12" customHeight="1">
      <c r="A94" s="329">
        <f t="shared" ref="A94:H94" si="85">A48</f>
        <v>7</v>
      </c>
      <c r="B94" s="329" t="str">
        <f t="shared" si="85"/>
        <v>+</v>
      </c>
      <c r="C94" s="669">
        <f t="shared" si="85"/>
        <v>11</v>
      </c>
      <c r="D94" s="329">
        <f t="shared" si="85"/>
        <v>9</v>
      </c>
      <c r="E94" s="669" t="str">
        <f t="shared" si="85"/>
        <v>+</v>
      </c>
      <c r="F94" s="669">
        <f t="shared" si="85"/>
        <v>15</v>
      </c>
      <c r="G94" s="669" t="str">
        <f t="shared" si="85"/>
        <v>RUA VEREADOR FLÁVIO ROCHA</v>
      </c>
      <c r="H94" s="669" t="str">
        <f t="shared" si="85"/>
        <v>DIREITO</v>
      </c>
      <c r="I94" s="87">
        <v>65</v>
      </c>
      <c r="J94" s="603">
        <v>0.1</v>
      </c>
      <c r="K94" s="603">
        <f t="shared" ref="K94:K95" si="86">TRUNC(I94*J94,2)</f>
        <v>6.5</v>
      </c>
      <c r="L94" s="603">
        <v>0.3</v>
      </c>
      <c r="M94" s="620">
        <f t="shared" ref="M94:M95" si="87">TRUNC(K94*L94,2)</f>
        <v>1.95</v>
      </c>
    </row>
    <row r="95" spans="1:15" s="601" customFormat="1" ht="12" customHeight="1">
      <c r="A95" s="329">
        <f t="shared" ref="A95:H95" si="88">A49</f>
        <v>10</v>
      </c>
      <c r="B95" s="329" t="str">
        <f t="shared" si="88"/>
        <v>+</v>
      </c>
      <c r="C95" s="669">
        <f t="shared" si="88"/>
        <v>2</v>
      </c>
      <c r="D95" s="329">
        <f t="shared" si="88"/>
        <v>16</v>
      </c>
      <c r="E95" s="669" t="str">
        <f t="shared" si="88"/>
        <v>+</v>
      </c>
      <c r="F95" s="669">
        <f t="shared" si="88"/>
        <v>13</v>
      </c>
      <c r="G95" s="669" t="str">
        <f t="shared" si="88"/>
        <v>RUA VEREADOR FLÁVIO ROCHA</v>
      </c>
      <c r="H95" s="669" t="str">
        <f t="shared" si="88"/>
        <v>DIREITO</v>
      </c>
      <c r="I95" s="87">
        <v>136</v>
      </c>
      <c r="J95" s="603">
        <v>0.1</v>
      </c>
      <c r="K95" s="603">
        <f t="shared" si="86"/>
        <v>13.6</v>
      </c>
      <c r="L95" s="603">
        <v>0.3</v>
      </c>
      <c r="M95" s="620">
        <f t="shared" si="87"/>
        <v>4.08</v>
      </c>
    </row>
    <row r="96" spans="1:15" s="601" customFormat="1" ht="12" customHeight="1">
      <c r="A96" s="329">
        <f t="shared" ref="A96:H96" si="89">A50</f>
        <v>0</v>
      </c>
      <c r="B96" s="329" t="str">
        <f t="shared" si="89"/>
        <v>+</v>
      </c>
      <c r="C96" s="669">
        <f t="shared" si="89"/>
        <v>0</v>
      </c>
      <c r="D96" s="329">
        <f t="shared" si="89"/>
        <v>1</v>
      </c>
      <c r="E96" s="669" t="str">
        <f t="shared" si="89"/>
        <v>+</v>
      </c>
      <c r="F96" s="669">
        <f t="shared" si="89"/>
        <v>10</v>
      </c>
      <c r="G96" s="669" t="str">
        <f t="shared" si="89"/>
        <v>RUA VEREADOR FLÁVIO ROCHA</v>
      </c>
      <c r="H96" s="669" t="str">
        <f t="shared" si="89"/>
        <v>ESQUERDO</v>
      </c>
      <c r="I96" s="87">
        <v>4</v>
      </c>
      <c r="J96" s="603">
        <v>0.1</v>
      </c>
      <c r="K96" s="603">
        <f>TRUNC(I96*J96,2)</f>
        <v>0.4</v>
      </c>
      <c r="L96" s="603">
        <v>0.3</v>
      </c>
      <c r="M96" s="620">
        <f>TRUNC(K96*L96,2)</f>
        <v>0.12</v>
      </c>
    </row>
    <row r="97" spans="1:15" s="601" customFormat="1" ht="12" customHeight="1">
      <c r="A97" s="329">
        <f t="shared" ref="A97:H97" si="90">A51</f>
        <v>1</v>
      </c>
      <c r="B97" s="329" t="str">
        <f t="shared" si="90"/>
        <v>+</v>
      </c>
      <c r="C97" s="669">
        <f t="shared" si="90"/>
        <v>18</v>
      </c>
      <c r="D97" s="329">
        <f t="shared" si="90"/>
        <v>7</v>
      </c>
      <c r="E97" s="669" t="str">
        <f t="shared" si="90"/>
        <v>+</v>
      </c>
      <c r="F97" s="669">
        <f t="shared" si="90"/>
        <v>3</v>
      </c>
      <c r="G97" s="669" t="str">
        <f t="shared" si="90"/>
        <v>RUA VEREADOR FLÁVIO ROCHA</v>
      </c>
      <c r="H97" s="669" t="str">
        <f t="shared" si="90"/>
        <v>ESQUERDO</v>
      </c>
      <c r="I97" s="87">
        <v>112</v>
      </c>
      <c r="J97" s="603">
        <v>0.1</v>
      </c>
      <c r="K97" s="603">
        <f t="shared" ref="K97:K98" si="91">TRUNC(I97*J97,2)</f>
        <v>11.2</v>
      </c>
      <c r="L97" s="603">
        <v>0.3</v>
      </c>
      <c r="M97" s="620">
        <f t="shared" ref="M97:M98" si="92">TRUNC(K97*L97,2)</f>
        <v>3.36</v>
      </c>
    </row>
    <row r="98" spans="1:15" s="601" customFormat="1" ht="12" customHeight="1">
      <c r="A98" s="329">
        <f t="shared" ref="A98:H98" si="93">A52</f>
        <v>7</v>
      </c>
      <c r="B98" s="329" t="str">
        <f t="shared" si="93"/>
        <v>+</v>
      </c>
      <c r="C98" s="669">
        <f t="shared" si="93"/>
        <v>11</v>
      </c>
      <c r="D98" s="329">
        <f t="shared" si="93"/>
        <v>12</v>
      </c>
      <c r="E98" s="669" t="str">
        <f t="shared" si="93"/>
        <v>+</v>
      </c>
      <c r="F98" s="669">
        <f t="shared" si="93"/>
        <v>7</v>
      </c>
      <c r="G98" s="669" t="str">
        <f t="shared" si="93"/>
        <v>RUA VEREADOR FLÁVIO ROCHA</v>
      </c>
      <c r="H98" s="669" t="str">
        <f t="shared" si="93"/>
        <v>ESQUERDO</v>
      </c>
      <c r="I98" s="87">
        <v>103</v>
      </c>
      <c r="J98" s="603">
        <v>0.1</v>
      </c>
      <c r="K98" s="603">
        <f t="shared" si="91"/>
        <v>10.3</v>
      </c>
      <c r="L98" s="603">
        <v>0.3</v>
      </c>
      <c r="M98" s="620">
        <f t="shared" si="92"/>
        <v>3.09</v>
      </c>
    </row>
    <row r="99" spans="1:15" s="601" customFormat="1" ht="12" customHeight="1">
      <c r="A99" s="329">
        <f t="shared" ref="A99:H99" si="94">A53</f>
        <v>12</v>
      </c>
      <c r="B99" s="329" t="str">
        <f t="shared" si="94"/>
        <v>+</v>
      </c>
      <c r="C99" s="669">
        <f t="shared" si="94"/>
        <v>15</v>
      </c>
      <c r="D99" s="329">
        <f t="shared" si="94"/>
        <v>16</v>
      </c>
      <c r="E99" s="669" t="str">
        <f t="shared" si="94"/>
        <v>+</v>
      </c>
      <c r="F99" s="669">
        <f t="shared" si="94"/>
        <v>13</v>
      </c>
      <c r="G99" s="669" t="str">
        <f t="shared" si="94"/>
        <v>RUA VEREADOR FLÁVIO ROCHA</v>
      </c>
      <c r="H99" s="669" t="str">
        <f t="shared" si="94"/>
        <v>ESQUERDO</v>
      </c>
      <c r="I99" s="87">
        <v>84</v>
      </c>
      <c r="J99" s="603">
        <v>0.1</v>
      </c>
      <c r="K99" s="603">
        <f>TRUNC(I99*J99,2)</f>
        <v>8.4</v>
      </c>
      <c r="L99" s="603">
        <v>0.3</v>
      </c>
      <c r="M99" s="620">
        <f>TRUNC(K99*L99,2)</f>
        <v>2.52</v>
      </c>
    </row>
    <row r="100" spans="1:15" s="36" customFormat="1" ht="12" customHeight="1">
      <c r="A100" s="862" t="s">
        <v>22</v>
      </c>
      <c r="B100" s="862"/>
      <c r="C100" s="862"/>
      <c r="D100" s="862"/>
      <c r="E100" s="862"/>
      <c r="F100" s="862"/>
      <c r="G100" s="862"/>
      <c r="H100" s="862"/>
      <c r="I100" s="862"/>
      <c r="J100" s="862"/>
      <c r="K100" s="862"/>
      <c r="L100" s="862"/>
      <c r="M100" s="607">
        <f>SUM(M88:M99)</f>
        <v>20.55</v>
      </c>
      <c r="O100" s="354"/>
    </row>
    <row r="101" spans="1:15" ht="12" customHeight="1">
      <c r="A101" s="608"/>
      <c r="B101" s="609"/>
      <c r="C101" s="609"/>
      <c r="D101" s="609"/>
      <c r="E101" s="609"/>
      <c r="F101" s="609"/>
      <c r="G101" s="609"/>
      <c r="H101" s="609"/>
      <c r="I101" s="610"/>
      <c r="J101" s="610"/>
      <c r="K101" s="609"/>
      <c r="L101" s="609"/>
      <c r="M101" s="611"/>
    </row>
    <row r="102" spans="1:15" s="601" customFormat="1" ht="12" customHeight="1">
      <c r="A102" s="837" t="s">
        <v>687</v>
      </c>
      <c r="B102" s="838"/>
      <c r="C102" s="838"/>
      <c r="D102" s="838"/>
      <c r="E102" s="838"/>
      <c r="F102" s="838"/>
      <c r="G102" s="838"/>
      <c r="H102" s="838"/>
      <c r="I102" s="838"/>
      <c r="J102" s="838"/>
      <c r="K102" s="838"/>
      <c r="L102" s="838"/>
      <c r="M102" s="839"/>
    </row>
    <row r="103" spans="1:15" s="601" customFormat="1" ht="12" customHeight="1">
      <c r="A103" s="840" t="s">
        <v>55</v>
      </c>
      <c r="B103" s="840"/>
      <c r="C103" s="840"/>
      <c r="D103" s="840" t="s">
        <v>56</v>
      </c>
      <c r="E103" s="840"/>
      <c r="F103" s="840"/>
      <c r="G103" s="640" t="s">
        <v>427</v>
      </c>
      <c r="H103" s="640" t="s">
        <v>120</v>
      </c>
      <c r="I103" s="602" t="s">
        <v>58</v>
      </c>
      <c r="J103" s="602" t="s">
        <v>54</v>
      </c>
      <c r="K103" s="640" t="s">
        <v>400</v>
      </c>
      <c r="L103" s="640" t="s">
        <v>675</v>
      </c>
      <c r="M103" s="640" t="s">
        <v>695</v>
      </c>
    </row>
    <row r="104" spans="1:15" s="601" customFormat="1" ht="12" customHeight="1">
      <c r="A104" s="329">
        <f>A24</f>
        <v>0</v>
      </c>
      <c r="B104" s="329" t="str">
        <f t="shared" ref="B104:H104" si="95">B24</f>
        <v>+</v>
      </c>
      <c r="C104" s="669">
        <f t="shared" si="95"/>
        <v>15</v>
      </c>
      <c r="D104" s="329">
        <f t="shared" si="95"/>
        <v>4</v>
      </c>
      <c r="E104" s="669" t="str">
        <f t="shared" si="95"/>
        <v>+</v>
      </c>
      <c r="F104" s="669">
        <f t="shared" si="95"/>
        <v>17</v>
      </c>
      <c r="G104" s="669" t="str">
        <f t="shared" si="95"/>
        <v>RUA JOSÉ MARQUES</v>
      </c>
      <c r="H104" s="669" t="str">
        <f t="shared" si="95"/>
        <v>DIREITO</v>
      </c>
      <c r="I104" s="87">
        <f t="shared" ref="I104:I113" si="96">(D104*20+F104)-(A104*20+C104)</f>
        <v>82</v>
      </c>
      <c r="J104" s="603">
        <v>0.45</v>
      </c>
      <c r="K104" s="603">
        <f>TRUNC(I104*J104,2)</f>
        <v>36.9</v>
      </c>
      <c r="L104" s="604" t="s">
        <v>47</v>
      </c>
      <c r="M104" s="620">
        <f>K104</f>
        <v>36.9</v>
      </c>
    </row>
    <row r="105" spans="1:15" s="601" customFormat="1" ht="12" customHeight="1">
      <c r="A105" s="329">
        <f t="shared" ref="A105:H105" si="97">A25</f>
        <v>0</v>
      </c>
      <c r="B105" s="329" t="str">
        <f t="shared" si="97"/>
        <v>+</v>
      </c>
      <c r="C105" s="669">
        <f t="shared" si="97"/>
        <v>0</v>
      </c>
      <c r="D105" s="329">
        <f t="shared" si="97"/>
        <v>0</v>
      </c>
      <c r="E105" s="669" t="str">
        <f t="shared" si="97"/>
        <v>+</v>
      </c>
      <c r="F105" s="669">
        <f t="shared" si="97"/>
        <v>5</v>
      </c>
      <c r="G105" s="669" t="str">
        <f t="shared" si="97"/>
        <v>RUA JOSÉ MARQUES</v>
      </c>
      <c r="H105" s="669" t="str">
        <f t="shared" si="97"/>
        <v>ESQUERDO</v>
      </c>
      <c r="I105" s="87">
        <f t="shared" si="96"/>
        <v>5</v>
      </c>
      <c r="J105" s="603">
        <v>0.45</v>
      </c>
      <c r="K105" s="603">
        <f t="shared" ref="K105" si="98">TRUNC(I105*J105,2)</f>
        <v>2.25</v>
      </c>
      <c r="L105" s="604" t="s">
        <v>47</v>
      </c>
      <c r="M105" s="620">
        <f t="shared" ref="M105:M108" si="99">K105</f>
        <v>2.25</v>
      </c>
    </row>
    <row r="106" spans="1:15" s="601" customFormat="1" ht="12" customHeight="1">
      <c r="A106" s="329">
        <f t="shared" ref="A106:H106" si="100">A26</f>
        <v>0</v>
      </c>
      <c r="B106" s="329" t="str">
        <f t="shared" si="100"/>
        <v>+</v>
      </c>
      <c r="C106" s="669">
        <f t="shared" si="100"/>
        <v>13</v>
      </c>
      <c r="D106" s="329">
        <f t="shared" si="100"/>
        <v>3</v>
      </c>
      <c r="E106" s="669" t="str">
        <f t="shared" si="100"/>
        <v>+</v>
      </c>
      <c r="F106" s="669">
        <f t="shared" si="100"/>
        <v>12</v>
      </c>
      <c r="G106" s="669" t="str">
        <f t="shared" si="100"/>
        <v>RUA JOSÉ MARQUES</v>
      </c>
      <c r="H106" s="669" t="str">
        <f t="shared" si="100"/>
        <v>ESQUERDO</v>
      </c>
      <c r="I106" s="87">
        <f t="shared" si="96"/>
        <v>59</v>
      </c>
      <c r="J106" s="603">
        <v>0.45</v>
      </c>
      <c r="K106" s="603">
        <f>TRUNC(I106*J106,2)</f>
        <v>26.55</v>
      </c>
      <c r="L106" s="604" t="s">
        <v>47</v>
      </c>
      <c r="M106" s="620">
        <f t="shared" si="99"/>
        <v>26.55</v>
      </c>
    </row>
    <row r="107" spans="1:15" s="601" customFormat="1" ht="12" customHeight="1">
      <c r="A107" s="329">
        <f t="shared" ref="A107:H107" si="101">A27</f>
        <v>4</v>
      </c>
      <c r="B107" s="329" t="str">
        <f t="shared" si="101"/>
        <v>+</v>
      </c>
      <c r="C107" s="669">
        <f t="shared" si="101"/>
        <v>4</v>
      </c>
      <c r="D107" s="329">
        <f t="shared" si="101"/>
        <v>4</v>
      </c>
      <c r="E107" s="669" t="str">
        <f t="shared" si="101"/>
        <v>+</v>
      </c>
      <c r="F107" s="669">
        <f t="shared" si="101"/>
        <v>17</v>
      </c>
      <c r="G107" s="669" t="str">
        <f t="shared" si="101"/>
        <v>RUA JOSÉ MARQUES</v>
      </c>
      <c r="H107" s="669" t="str">
        <f t="shared" si="101"/>
        <v>ESQUERDO</v>
      </c>
      <c r="I107" s="87">
        <f t="shared" si="96"/>
        <v>13</v>
      </c>
      <c r="J107" s="603">
        <v>0.45</v>
      </c>
      <c r="K107" s="603">
        <f>TRUNC(I107*J107,2)</f>
        <v>5.85</v>
      </c>
      <c r="L107" s="604" t="s">
        <v>47</v>
      </c>
      <c r="M107" s="620">
        <f t="shared" si="99"/>
        <v>5.85</v>
      </c>
    </row>
    <row r="108" spans="1:15" s="601" customFormat="1" ht="12" customHeight="1">
      <c r="A108" s="329">
        <f t="shared" ref="A108:H108" si="102">A28</f>
        <v>0</v>
      </c>
      <c r="B108" s="329" t="str">
        <f t="shared" si="102"/>
        <v>+</v>
      </c>
      <c r="C108" s="669">
        <f t="shared" si="102"/>
        <v>0</v>
      </c>
      <c r="D108" s="329">
        <f t="shared" si="102"/>
        <v>1</v>
      </c>
      <c r="E108" s="669" t="str">
        <f t="shared" si="102"/>
        <v>+</v>
      </c>
      <c r="F108" s="669">
        <f t="shared" si="102"/>
        <v>0</v>
      </c>
      <c r="G108" s="669" t="str">
        <f t="shared" si="102"/>
        <v>RUA VEREADOR FLÁVIO ROCHA</v>
      </c>
      <c r="H108" s="669" t="str">
        <f t="shared" si="102"/>
        <v>DIREITO</v>
      </c>
      <c r="I108" s="87">
        <f t="shared" si="96"/>
        <v>20</v>
      </c>
      <c r="J108" s="603">
        <v>0.45</v>
      </c>
      <c r="K108" s="603">
        <f t="shared" ref="K108" si="103">TRUNC(I108*J108,2)</f>
        <v>9</v>
      </c>
      <c r="L108" s="604" t="s">
        <v>47</v>
      </c>
      <c r="M108" s="620">
        <f t="shared" si="99"/>
        <v>9</v>
      </c>
    </row>
    <row r="109" spans="1:15" s="601" customFormat="1" ht="12" customHeight="1">
      <c r="A109" s="329">
        <f t="shared" ref="A109:H109" si="104">A29</f>
        <v>1</v>
      </c>
      <c r="B109" s="329" t="str">
        <f t="shared" si="104"/>
        <v>+</v>
      </c>
      <c r="C109" s="669">
        <f t="shared" si="104"/>
        <v>9</v>
      </c>
      <c r="D109" s="329">
        <f t="shared" si="104"/>
        <v>3</v>
      </c>
      <c r="E109" s="669" t="str">
        <f t="shared" si="104"/>
        <v>+</v>
      </c>
      <c r="F109" s="669">
        <f t="shared" si="104"/>
        <v>5</v>
      </c>
      <c r="G109" s="669" t="str">
        <f t="shared" si="104"/>
        <v>RUA VEREADOR FLÁVIO ROCHA</v>
      </c>
      <c r="H109" s="669" t="str">
        <f t="shared" si="104"/>
        <v>DIREITO</v>
      </c>
      <c r="I109" s="87">
        <f t="shared" si="96"/>
        <v>36</v>
      </c>
      <c r="J109" s="603">
        <v>0.45</v>
      </c>
      <c r="K109" s="603">
        <f>TRUNC(I109*J109,2)</f>
        <v>16.2</v>
      </c>
      <c r="L109" s="604" t="s">
        <v>47</v>
      </c>
      <c r="M109" s="620">
        <f>K109</f>
        <v>16.2</v>
      </c>
    </row>
    <row r="110" spans="1:15" s="601" customFormat="1" ht="12" customHeight="1">
      <c r="A110" s="329">
        <f t="shared" ref="A110:H110" si="105">A30</f>
        <v>3</v>
      </c>
      <c r="B110" s="329" t="str">
        <f t="shared" si="105"/>
        <v>+</v>
      </c>
      <c r="C110" s="669">
        <f t="shared" si="105"/>
        <v>12</v>
      </c>
      <c r="D110" s="329">
        <f t="shared" si="105"/>
        <v>7</v>
      </c>
      <c r="E110" s="669" t="str">
        <f t="shared" si="105"/>
        <v>+</v>
      </c>
      <c r="F110" s="669">
        <f t="shared" si="105"/>
        <v>3</v>
      </c>
      <c r="G110" s="669" t="str">
        <f t="shared" si="105"/>
        <v>RUA VEREADOR FLÁVIO ROCHA</v>
      </c>
      <c r="H110" s="669" t="str">
        <f t="shared" si="105"/>
        <v>DIREITO</v>
      </c>
      <c r="I110" s="87">
        <f t="shared" si="96"/>
        <v>71</v>
      </c>
      <c r="J110" s="603">
        <v>0.45</v>
      </c>
      <c r="K110" s="603">
        <f t="shared" ref="K110" si="106">TRUNC(I110*J110,2)</f>
        <v>31.95</v>
      </c>
      <c r="L110" s="604" t="s">
        <v>47</v>
      </c>
      <c r="M110" s="620">
        <f t="shared" ref="M110:M113" si="107">K110</f>
        <v>31.95</v>
      </c>
    </row>
    <row r="111" spans="1:15" s="601" customFormat="1" ht="12" customHeight="1">
      <c r="A111" s="329">
        <f t="shared" ref="A111:H111" si="108">A31</f>
        <v>7</v>
      </c>
      <c r="B111" s="329" t="str">
        <f t="shared" si="108"/>
        <v>+</v>
      </c>
      <c r="C111" s="669">
        <f t="shared" si="108"/>
        <v>11</v>
      </c>
      <c r="D111" s="329">
        <f t="shared" si="108"/>
        <v>9</v>
      </c>
      <c r="E111" s="669" t="str">
        <f t="shared" si="108"/>
        <v>+</v>
      </c>
      <c r="F111" s="669">
        <f t="shared" si="108"/>
        <v>15</v>
      </c>
      <c r="G111" s="669" t="str">
        <f t="shared" si="108"/>
        <v>RUA VEREADOR FLÁVIO ROCHA</v>
      </c>
      <c r="H111" s="669" t="str">
        <f t="shared" si="108"/>
        <v>DIREITO</v>
      </c>
      <c r="I111" s="87">
        <f t="shared" si="96"/>
        <v>44</v>
      </c>
      <c r="J111" s="603">
        <v>0.45</v>
      </c>
      <c r="K111" s="603">
        <f>TRUNC(I111*J111,2)</f>
        <v>19.8</v>
      </c>
      <c r="L111" s="604" t="s">
        <v>47</v>
      </c>
      <c r="M111" s="620">
        <f t="shared" si="107"/>
        <v>19.8</v>
      </c>
    </row>
    <row r="112" spans="1:15" s="601" customFormat="1" ht="12" customHeight="1">
      <c r="A112" s="329">
        <f t="shared" ref="A112:H112" si="109">A32</f>
        <v>10</v>
      </c>
      <c r="B112" s="329" t="str">
        <f t="shared" si="109"/>
        <v>+</v>
      </c>
      <c r="C112" s="669">
        <f t="shared" si="109"/>
        <v>2</v>
      </c>
      <c r="D112" s="329">
        <f t="shared" si="109"/>
        <v>16</v>
      </c>
      <c r="E112" s="669" t="str">
        <f t="shared" si="109"/>
        <v>+</v>
      </c>
      <c r="F112" s="669">
        <f t="shared" si="109"/>
        <v>13</v>
      </c>
      <c r="G112" s="669" t="str">
        <f t="shared" si="109"/>
        <v>RUA VEREADOR FLÁVIO ROCHA</v>
      </c>
      <c r="H112" s="669" t="str">
        <f t="shared" si="109"/>
        <v>DIREITO</v>
      </c>
      <c r="I112" s="87">
        <f t="shared" si="96"/>
        <v>131</v>
      </c>
      <c r="J112" s="603">
        <v>0.45</v>
      </c>
      <c r="K112" s="603">
        <f>TRUNC(I112*J112,2)</f>
        <v>58.95</v>
      </c>
      <c r="L112" s="604" t="s">
        <v>47</v>
      </c>
      <c r="M112" s="620">
        <f t="shared" si="107"/>
        <v>58.95</v>
      </c>
    </row>
    <row r="113" spans="1:15" s="601" customFormat="1" ht="12" customHeight="1">
      <c r="A113" s="329">
        <f t="shared" ref="A113:H113" si="110">A33</f>
        <v>0</v>
      </c>
      <c r="B113" s="329" t="str">
        <f t="shared" si="110"/>
        <v>+</v>
      </c>
      <c r="C113" s="669">
        <f t="shared" si="110"/>
        <v>0</v>
      </c>
      <c r="D113" s="329">
        <f t="shared" si="110"/>
        <v>1</v>
      </c>
      <c r="E113" s="669" t="str">
        <f t="shared" si="110"/>
        <v>+</v>
      </c>
      <c r="F113" s="669">
        <f t="shared" si="110"/>
        <v>10</v>
      </c>
      <c r="G113" s="669" t="str">
        <f t="shared" si="110"/>
        <v>RUA VEREADOR FLÁVIO ROCHA</v>
      </c>
      <c r="H113" s="669" t="str">
        <f t="shared" si="110"/>
        <v>ESQUERDO</v>
      </c>
      <c r="I113" s="87">
        <f t="shared" si="96"/>
        <v>30</v>
      </c>
      <c r="J113" s="603">
        <v>0.45</v>
      </c>
      <c r="K113" s="603">
        <f t="shared" ref="K113" si="111">TRUNC(I113*J113,2)</f>
        <v>13.5</v>
      </c>
      <c r="L113" s="604" t="s">
        <v>47</v>
      </c>
      <c r="M113" s="620">
        <f t="shared" si="107"/>
        <v>13.5</v>
      </c>
    </row>
    <row r="114" spans="1:15" s="601" customFormat="1" ht="12" customHeight="1">
      <c r="A114" s="329">
        <f t="shared" ref="A114:H114" si="112">A34</f>
        <v>1</v>
      </c>
      <c r="B114" s="329" t="str">
        <f t="shared" si="112"/>
        <v>+</v>
      </c>
      <c r="C114" s="669">
        <f t="shared" si="112"/>
        <v>18</v>
      </c>
      <c r="D114" s="329">
        <f t="shared" si="112"/>
        <v>7</v>
      </c>
      <c r="E114" s="669" t="str">
        <f t="shared" si="112"/>
        <v>+</v>
      </c>
      <c r="F114" s="669">
        <f t="shared" si="112"/>
        <v>3</v>
      </c>
      <c r="G114" s="669" t="str">
        <f t="shared" si="112"/>
        <v>RUA VEREADOR FLÁVIO ROCHA</v>
      </c>
      <c r="H114" s="669" t="str">
        <f t="shared" si="112"/>
        <v>ESQUERDO</v>
      </c>
      <c r="I114" s="87">
        <f t="shared" ref="I114:I116" si="113">(D114*20+F114)-(A114*20+C114)</f>
        <v>105</v>
      </c>
      <c r="J114" s="603">
        <v>0.45</v>
      </c>
      <c r="K114" s="603">
        <f>TRUNC(I114*J114,2)</f>
        <v>47.25</v>
      </c>
      <c r="L114" s="604" t="s">
        <v>47</v>
      </c>
      <c r="M114" s="620">
        <f>K114</f>
        <v>47.25</v>
      </c>
    </row>
    <row r="115" spans="1:15" s="601" customFormat="1" ht="12" customHeight="1">
      <c r="A115" s="329">
        <f t="shared" ref="A115:H115" si="114">A35</f>
        <v>7</v>
      </c>
      <c r="B115" s="329" t="str">
        <f t="shared" si="114"/>
        <v>+</v>
      </c>
      <c r="C115" s="669">
        <f t="shared" si="114"/>
        <v>11</v>
      </c>
      <c r="D115" s="329">
        <f t="shared" si="114"/>
        <v>12</v>
      </c>
      <c r="E115" s="669" t="str">
        <f t="shared" si="114"/>
        <v>+</v>
      </c>
      <c r="F115" s="669">
        <f t="shared" si="114"/>
        <v>7</v>
      </c>
      <c r="G115" s="669" t="str">
        <f t="shared" si="114"/>
        <v>RUA VEREADOR FLÁVIO ROCHA</v>
      </c>
      <c r="H115" s="669" t="str">
        <f t="shared" si="114"/>
        <v>ESQUERDO</v>
      </c>
      <c r="I115" s="87">
        <f t="shared" si="113"/>
        <v>96</v>
      </c>
      <c r="J115" s="603">
        <v>0.45</v>
      </c>
      <c r="K115" s="603">
        <f t="shared" ref="K115" si="115">TRUNC(I115*J115,2)</f>
        <v>43.2</v>
      </c>
      <c r="L115" s="604" t="s">
        <v>47</v>
      </c>
      <c r="M115" s="620">
        <f t="shared" ref="M115:M116" si="116">K115</f>
        <v>43.2</v>
      </c>
    </row>
    <row r="116" spans="1:15" s="601" customFormat="1" ht="12" customHeight="1">
      <c r="A116" s="329">
        <f t="shared" ref="A116:H116" si="117">A36</f>
        <v>12</v>
      </c>
      <c r="B116" s="329" t="str">
        <f t="shared" si="117"/>
        <v>+</v>
      </c>
      <c r="C116" s="669">
        <f t="shared" si="117"/>
        <v>15</v>
      </c>
      <c r="D116" s="329">
        <f t="shared" si="117"/>
        <v>16</v>
      </c>
      <c r="E116" s="669" t="str">
        <f t="shared" si="117"/>
        <v>+</v>
      </c>
      <c r="F116" s="669">
        <f t="shared" si="117"/>
        <v>13</v>
      </c>
      <c r="G116" s="669" t="str">
        <f t="shared" si="117"/>
        <v>RUA VEREADOR FLÁVIO ROCHA</v>
      </c>
      <c r="H116" s="669" t="str">
        <f t="shared" si="117"/>
        <v>ESQUERDO</v>
      </c>
      <c r="I116" s="87">
        <f t="shared" si="113"/>
        <v>78</v>
      </c>
      <c r="J116" s="603">
        <v>0.45</v>
      </c>
      <c r="K116" s="603">
        <f>TRUNC(I116*J116,2)</f>
        <v>35.1</v>
      </c>
      <c r="L116" s="604" t="s">
        <v>47</v>
      </c>
      <c r="M116" s="620">
        <f t="shared" si="116"/>
        <v>35.1</v>
      </c>
    </row>
    <row r="117" spans="1:15" s="36" customFormat="1" ht="12" customHeight="1">
      <c r="A117" s="841" t="s">
        <v>22</v>
      </c>
      <c r="B117" s="842"/>
      <c r="C117" s="842"/>
      <c r="D117" s="842"/>
      <c r="E117" s="842"/>
      <c r="F117" s="842"/>
      <c r="G117" s="842"/>
      <c r="H117" s="842"/>
      <c r="I117" s="842"/>
      <c r="J117" s="842"/>
      <c r="K117" s="842"/>
      <c r="L117" s="843"/>
      <c r="M117" s="607">
        <f>SUM(M104:M116)</f>
        <v>346.5</v>
      </c>
      <c r="O117" s="354"/>
    </row>
    <row r="118" spans="1:15" ht="12" customHeight="1"/>
    <row r="119" spans="1:15" ht="12" customHeight="1"/>
    <row r="120" spans="1:15" ht="12" customHeight="1"/>
  </sheetData>
  <mergeCells count="31">
    <mergeCell ref="I2:J2"/>
    <mergeCell ref="K2:L2"/>
    <mergeCell ref="A22:M22"/>
    <mergeCell ref="A23:C23"/>
    <mergeCell ref="D23:F23"/>
    <mergeCell ref="A4:M4"/>
    <mergeCell ref="A5:C5"/>
    <mergeCell ref="D5:F5"/>
    <mergeCell ref="D1:M1"/>
    <mergeCell ref="D2:H2"/>
    <mergeCell ref="D3:L3"/>
    <mergeCell ref="A1:C3"/>
    <mergeCell ref="A100:L100"/>
    <mergeCell ref="A84:L84"/>
    <mergeCell ref="A86:M86"/>
    <mergeCell ref="A87:C87"/>
    <mergeCell ref="D87:F87"/>
    <mergeCell ref="A37:L37"/>
    <mergeCell ref="A39:M39"/>
    <mergeCell ref="A40:C40"/>
    <mergeCell ref="D40:F40"/>
    <mergeCell ref="A54:L54"/>
    <mergeCell ref="A19:L19"/>
    <mergeCell ref="A20:L20"/>
    <mergeCell ref="A102:M102"/>
    <mergeCell ref="A103:C103"/>
    <mergeCell ref="D103:F103"/>
    <mergeCell ref="A117:L117"/>
    <mergeCell ref="A56:M56"/>
    <mergeCell ref="A57:C57"/>
    <mergeCell ref="D57:F57"/>
  </mergeCells>
  <printOptions horizontalCentered="1"/>
  <pageMargins left="0.78740157480314965" right="0.59055118110236227" top="0.59055118110236227" bottom="0.78740157480314965" header="0" footer="0.19685039370078741"/>
  <pageSetup paperSize="9" scale="65" orientation="portrait" r:id="rId1"/>
  <headerFooter alignWithMargins="0">
    <oddFooter>&amp;CDARCIO PAGANI VIEIRA
ENGENHEIRO AGRIMENSOR
CREA/SC - 077.222-9</oddFooter>
  </headerFooter>
  <ignoredErrors>
    <ignoredError sqref="I80:I82 I78 I79 I58:I70 I41:I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21</vt:i4>
      </vt:variant>
    </vt:vector>
  </HeadingPairs>
  <TitlesOfParts>
    <vt:vector size="37" baseType="lpstr">
      <vt:lpstr>ORÇAMENTO</vt:lpstr>
      <vt:lpstr>QCI</vt:lpstr>
      <vt:lpstr>CRONOGRAMA</vt:lpstr>
      <vt:lpstr>TERRAPL.</vt:lpstr>
      <vt:lpstr>DIM. DREN.</vt:lpstr>
      <vt:lpstr>BACIAS</vt:lpstr>
      <vt:lpstr>DRENAGEM</vt:lpstr>
      <vt:lpstr>PAVIM.</vt:lpstr>
      <vt:lpstr>CALÇADA</vt:lpstr>
      <vt:lpstr>SINALIZAÇÃO</vt:lpstr>
      <vt:lpstr>BDI</vt:lpstr>
      <vt:lpstr>COMP. SINAPI</vt:lpstr>
      <vt:lpstr>COMP. SICRO</vt:lpstr>
      <vt:lpstr>COTAÇÃO</vt:lpstr>
      <vt:lpstr>REAJUSTE</vt:lpstr>
      <vt:lpstr>MAT. BET.</vt:lpstr>
      <vt:lpstr>BDI!Area_de_impressao</vt:lpstr>
      <vt:lpstr>CALÇADA!Area_de_impressao</vt:lpstr>
      <vt:lpstr>'COMP. SICRO'!Area_de_impressao</vt:lpstr>
      <vt:lpstr>'COMP. SINAPI'!Area_de_impressao</vt:lpstr>
      <vt:lpstr>COTAÇÃO!Area_de_impressao</vt:lpstr>
      <vt:lpstr>CRONOGRAMA!Area_de_impressao</vt:lpstr>
      <vt:lpstr>'DIM. DREN.'!Area_de_impressao</vt:lpstr>
      <vt:lpstr>DRENAGEM!Area_de_impressao</vt:lpstr>
      <vt:lpstr>'MAT. BET.'!Area_de_impressao</vt:lpstr>
      <vt:lpstr>ORÇAMENTO!Area_de_impressao</vt:lpstr>
      <vt:lpstr>PAVIM.!Area_de_impressao</vt:lpstr>
      <vt:lpstr>REAJUSTE!Area_de_impressao</vt:lpstr>
      <vt:lpstr>SINALIZAÇÃO!Area_de_impressao</vt:lpstr>
      <vt:lpstr>TERRAPL.!Area_de_impressao</vt:lpstr>
      <vt:lpstr>CALÇADA!Titulos_de_impressao</vt:lpstr>
      <vt:lpstr>'COMP. SINAPI'!Titulos_de_impressao</vt:lpstr>
      <vt:lpstr>COTAÇÃO!Titulos_de_impressao</vt:lpstr>
      <vt:lpstr>'DIM. DREN.'!Titulos_de_impressao</vt:lpstr>
      <vt:lpstr>DRENAGEM!Titulos_de_impressao</vt:lpstr>
      <vt:lpstr>PAVIM.!Titulos_de_impressao</vt:lpstr>
      <vt:lpstr>TERRAPL.!Titulos_de_impressao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2024-08-02T11:54:59Z</cp:lastPrinted>
  <dcterms:created xsi:type="dcterms:W3CDTF">2018-05-07T18:41:35Z</dcterms:created>
  <dcterms:modified xsi:type="dcterms:W3CDTF">2024-10-15T12:55:04Z</dcterms:modified>
</cp:coreProperties>
</file>