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192.168.1.60\Users\Servidor\Documents\Prefeitura_servidor\Compras\LICITAÇÕES 2024\136.2024 - Concorrência Impermeabilização Ginásio\"/>
    </mc:Choice>
  </mc:AlternateContent>
  <xr:revisionPtr revIDLastSave="0" documentId="8_{E275E7DC-3745-490C-BCE3-785CEEEB59A2}" xr6:coauthVersionLast="47" xr6:coauthVersionMax="47" xr10:uidLastSave="{00000000-0000-0000-0000-000000000000}"/>
  <bookViews>
    <workbookView xWindow="-108" yWindow="-108" windowWidth="23256" windowHeight="12456" activeTab="2" xr2:uid="{00000000-000D-0000-FFFF-FFFF00000000}"/>
  </bookViews>
  <sheets>
    <sheet name="ORÇAMENTO" sheetId="1" r:id="rId1"/>
    <sheet name="CRONOGRAMA" sheetId="2" r:id="rId2"/>
    <sheet name="BDI" sheetId="4" r:id="rId3"/>
  </sheets>
  <externalReferences>
    <externalReference r:id="rId4"/>
  </externalReferences>
  <definedNames>
    <definedName name="_xlnm.Print_Area" localSheetId="2">BDI!$A$1:$L$52</definedName>
    <definedName name="_xlnm.Print_Area" localSheetId="1">CRONOGRAMA!$A$1:$Y$9</definedName>
    <definedName name="_xlnm.Print_Area" localSheetId="0">ORÇAMENTO!$A$1:$J$20</definedName>
    <definedName name="matriz" localSheetId="2">BDI!$Q$17:$V$21</definedName>
    <definedName name="matriz">[1]Serviços!$Q$17:$V$21</definedName>
    <definedName name="matriz2" localSheetId="2">BDI!$Q$23:$V$27</definedName>
    <definedName name="matriz2">[1]Serviços!$Q$23:$V$27</definedName>
    <definedName name="TESTE" localSheetId="2">BDI!XEV:XEV*BDI!XEW:XEW</definedName>
    <definedName name="TESTE">[1]Serviços!XEV:XEV*[1]Serviços!XEW:XEW</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4" l="1"/>
  <c r="P10" i="4"/>
  <c r="C13" i="4"/>
  <c r="G15" i="4"/>
  <c r="H15" i="4"/>
  <c r="I15" i="4"/>
  <c r="H16" i="4"/>
  <c r="G16" i="4" s="1"/>
  <c r="I16" i="4"/>
  <c r="H17" i="4"/>
  <c r="I17" i="4"/>
  <c r="H18" i="4"/>
  <c r="I18" i="4"/>
  <c r="H19" i="4"/>
  <c r="I19" i="4"/>
  <c r="H20" i="4"/>
  <c r="I20" i="4"/>
  <c r="G21" i="4"/>
  <c r="J21" i="4"/>
  <c r="G22" i="4"/>
  <c r="H23" i="4"/>
  <c r="F24" i="4"/>
  <c r="H24" i="4"/>
  <c r="G24" i="4" s="1"/>
  <c r="I24" i="4"/>
  <c r="N24" i="4"/>
  <c r="A8" i="4" s="1"/>
  <c r="H25" i="4"/>
  <c r="N30" i="4"/>
  <c r="N32" i="4" s="1"/>
  <c r="N33" i="4" s="1"/>
  <c r="N35" i="4" s="1"/>
  <c r="G42" i="4" s="1"/>
  <c r="N31" i="4"/>
  <c r="N34" i="4"/>
  <c r="B36" i="4"/>
  <c r="Q37" i="4"/>
  <c r="R37" i="4"/>
  <c r="B40" i="4"/>
  <c r="G18" i="4" l="1"/>
  <c r="G19" i="4"/>
  <c r="G17" i="4"/>
  <c r="F23" i="4"/>
  <c r="B39" i="4"/>
  <c r="I23" i="4"/>
  <c r="F20" i="4" l="1"/>
  <c r="G23" i="4"/>
  <c r="G20" i="4" l="1"/>
  <c r="N18" i="4"/>
  <c r="F27" i="4"/>
  <c r="Q39" i="4" l="1"/>
  <c r="R42" i="4"/>
  <c r="R44" i="4" s="1"/>
  <c r="N28" i="4" s="1"/>
  <c r="N59" i="4"/>
  <c r="Q43" i="4"/>
  <c r="R43" i="4"/>
  <c r="N20" i="4"/>
  <c r="N22" i="4" s="1"/>
  <c r="N19" i="4" s="1"/>
  <c r="Q42" i="4"/>
  <c r="Q44" i="4" l="1"/>
  <c r="N27" i="4" s="1"/>
  <c r="N58" i="4"/>
  <c r="N57" i="4"/>
  <c r="N54" i="4" s="1"/>
  <c r="G27" i="4" s="1"/>
  <c r="A2" i="2" l="1"/>
  <c r="I9" i="1"/>
  <c r="I10" i="1" s="1"/>
  <c r="I11" i="1" s="1"/>
  <c r="H10" i="1"/>
  <c r="H9" i="1"/>
  <c r="J12" i="1"/>
  <c r="J13" i="1"/>
  <c r="J14" i="1"/>
  <c r="J15" i="1"/>
  <c r="J16" i="1"/>
  <c r="J17" i="1"/>
  <c r="J18" i="1"/>
  <c r="J19" i="1"/>
  <c r="H11" i="1"/>
  <c r="H20" i="1" l="1"/>
  <c r="J10" i="1"/>
  <c r="J11" i="1"/>
  <c r="J9" i="1"/>
  <c r="J20" i="1" s="1"/>
</calcChain>
</file>

<file path=xl/sharedStrings.xml><?xml version="1.0" encoding="utf-8"?>
<sst xmlns="http://schemas.openxmlformats.org/spreadsheetml/2006/main" count="199" uniqueCount="151">
  <si>
    <t>1.1</t>
  </si>
  <si>
    <t>1.2</t>
  </si>
  <si>
    <t>1.3</t>
  </si>
  <si>
    <t>1.4</t>
  </si>
  <si>
    <t>QUANT.</t>
  </si>
  <si>
    <t>UNID.</t>
  </si>
  <si>
    <t>DESCRIÇÃO DO SERVIÇO</t>
  </si>
  <si>
    <t>ITEM</t>
  </si>
  <si>
    <t>CODIGO</t>
  </si>
  <si>
    <t>1.6</t>
  </si>
  <si>
    <t>1.5</t>
  </si>
  <si>
    <t>1.7</t>
  </si>
  <si>
    <t>1.8</t>
  </si>
  <si>
    <t>1.9</t>
  </si>
  <si>
    <t>Total</t>
  </si>
  <si>
    <t>Obra:</t>
  </si>
  <si>
    <t>Objeto:</t>
  </si>
  <si>
    <t>Local</t>
  </si>
  <si>
    <t>-</t>
  </si>
  <si>
    <t>BDI</t>
  </si>
  <si>
    <t>VALORES</t>
  </si>
  <si>
    <t>VALOR TOTAL CONTRATADO</t>
  </si>
  <si>
    <t>m</t>
  </si>
  <si>
    <t>m²</t>
  </si>
  <si>
    <t>Planilha Orçamentária</t>
  </si>
  <si>
    <t>SINAPI</t>
  </si>
  <si>
    <t>1.10</t>
  </si>
  <si>
    <t>1.11</t>
  </si>
  <si>
    <t>IMPERMEABILIZAÇÃO DE SUPERFÍCIE COM MEMBRANA À BASE DE RESINA ACRÍLICA, 3 DEMÃOS. AF_09/2023</t>
  </si>
  <si>
    <t xml:space="preserve">LIMPEZA DE SUPERFÍCIE COM JATO DE ALTA PRESSÃO. AF_04/2019   </t>
  </si>
  <si>
    <t xml:space="preserve">MONTAGEM E DESMONTAGEM DE ANDAIME TUBULAR TIPO "TORRE" (EXCLUSIVE ANDAIME E LIMPEZA). AF_03/2024 </t>
  </si>
  <si>
    <t>Centro Esportivo Municipal Antonio da Rocha, Bairro centro, Município de Maracajá/SC</t>
  </si>
  <si>
    <t>Maracajá</t>
  </si>
  <si>
    <t>Item</t>
  </si>
  <si>
    <t>Mês 01</t>
  </si>
  <si>
    <t>Mês 02</t>
  </si>
  <si>
    <t>Mês 03</t>
  </si>
  <si>
    <t>Mês 04</t>
  </si>
  <si>
    <t>Mês 05</t>
  </si>
  <si>
    <t>Mês 06</t>
  </si>
  <si>
    <t>Mês 07</t>
  </si>
  <si>
    <t>Mês 08</t>
  </si>
  <si>
    <t>Mês 09</t>
  </si>
  <si>
    <t>Mês 10</t>
  </si>
  <si>
    <t>Mês 11</t>
  </si>
  <si>
    <t>Mês 12</t>
  </si>
  <si>
    <t>No mês</t>
  </si>
  <si>
    <t>Acum.</t>
  </si>
  <si>
    <t xml:space="preserve">CRONOGRAMA GLOBAL </t>
  </si>
  <si>
    <t>IMPERMEABILIZAÇÃO DE COBERTURA</t>
  </si>
  <si>
    <t>desonerado</t>
  </si>
  <si>
    <t>onerado</t>
  </si>
  <si>
    <t>Eu, responsável técnico pelo orçamento, declaro para os devidos fins, que a opção pela oneração sobre a folha de pagamento é mais adequada para a administração pública.</t>
  </si>
  <si>
    <t>288.787.289-34</t>
  </si>
  <si>
    <t>CPF:</t>
  </si>
  <si>
    <t>ART/RRT:</t>
  </si>
  <si>
    <t>Eu, responsável técnico pelo orçamento, declaro para os devidos fins, que a opção pela desoneração sobre a folha de pagamento é mais adequada para a administração pública.</t>
  </si>
  <si>
    <t>CONTADOR</t>
  </si>
  <si>
    <t>Cargo:</t>
  </si>
  <si>
    <t>Registro:</t>
  </si>
  <si>
    <t>HELDER FRANCISCO LOCH</t>
  </si>
  <si>
    <t>Nome:</t>
  </si>
  <si>
    <t xml:space="preserve">Nome: </t>
  </si>
  <si>
    <t>6= final acima real acima</t>
  </si>
  <si>
    <t>Percentual do BDI superior ao limite estipulado pelo Acórdão TCU 2.622/2013.</t>
  </si>
  <si>
    <t>Responsável indicado pelo Tomador</t>
  </si>
  <si>
    <t>Responsável Técnico pela Composição do BDI</t>
  </si>
  <si>
    <t>5= final acima real dentro</t>
  </si>
  <si>
    <t>OK! Percentual do BDI quando calculado sem desoneração atende ao limite estipulado pelo Acórdão TCU 2.622/2013.</t>
  </si>
  <si>
    <t>4= final dentro real dentro</t>
  </si>
  <si>
    <t>OK!</t>
  </si>
  <si>
    <t>3= final dentro real abaixo</t>
  </si>
  <si>
    <t>Percentual do BDI quando calculado sem desoneração é inferior ao limite estipulado pelo Acórdão TCU 2.622/2013.</t>
  </si>
  <si>
    <t>2= final abaixo</t>
  </si>
  <si>
    <t>Percentual do BDI inferior ao limite estipulado pelo Acórdão TCU 2.622/2013.</t>
  </si>
  <si>
    <t>Data</t>
  </si>
  <si>
    <t>final</t>
  </si>
  <si>
    <t>OK</t>
  </si>
  <si>
    <t>real</t>
  </si>
  <si>
    <t>3= acima</t>
  </si>
  <si>
    <t>2= dentro</t>
  </si>
  <si>
    <t>1= abaixo</t>
  </si>
  <si>
    <t>Declaração do Tomador dos Recursos:</t>
  </si>
  <si>
    <t>Calculo real:</t>
  </si>
  <si>
    <t>Obs¹: Para pagamento de material em canteiro, quando possível nos programas do Gestor, o BDI de Materiais deve ser limitado a 12,00%.</t>
  </si>
  <si>
    <t>LIMITES DE BDI</t>
  </si>
  <si>
    <t>de 11,10% a 16,80%</t>
  </si>
  <si>
    <t>Fornecimento de Materiais e Equipamentos</t>
  </si>
  <si>
    <t>de 22,80% a 30,95%</t>
  </si>
  <si>
    <t>Obras Portuárias, Marítimas e Fluviais</t>
  </si>
  <si>
    <t>de 24,00% a 27,86%</t>
  </si>
  <si>
    <t>Construção e Manutenção de Estações e Redes de Distribuição de Energia Elétrica</t>
  </si>
  <si>
    <t>de 20,76% a 26,44%</t>
  </si>
  <si>
    <t>Construção de Redes de Abastecimento de Água, Coleta de Esgoto e Construções Correlatas</t>
  </si>
  <si>
    <t>de 19,60% a 24,23%</t>
  </si>
  <si>
    <t>Construção de Rodovias e Ferrovias</t>
  </si>
  <si>
    <t>Justificativas e Observações:</t>
  </si>
  <si>
    <t>de 20,34% a 25,00%</t>
  </si>
  <si>
    <t>Construção de Edifícios</t>
  </si>
  <si>
    <t>Composição do BDI para obras com mão-de-obra onerada</t>
  </si>
  <si>
    <t>Fórmula - Acórdão TCU 2.622/2013:</t>
  </si>
  <si>
    <t>Composição do BDI para obras com mão-de-obra desonerada (conforme Lei 13.161 de 2015)</t>
  </si>
  <si>
    <t>LIMITE CONFORME ACÓRDÃO TCU 2.622/2013</t>
  </si>
  <si>
    <t>ISS</t>
  </si>
  <si>
    <t>6.4</t>
  </si>
  <si>
    <t>CPRB</t>
  </si>
  <si>
    <t>CONTRIBUIÇÃO PREVIDENCIÁRIA SOBRE A RECEITA BRUTA</t>
  </si>
  <si>
    <t>6.3</t>
  </si>
  <si>
    <t>maximos</t>
  </si>
  <si>
    <t>COFINS</t>
  </si>
  <si>
    <t>6.2</t>
  </si>
  <si>
    <t>Base de cálculo:</t>
  </si>
  <si>
    <t>Alíquota ISS:</t>
  </si>
  <si>
    <t>%</t>
  </si>
  <si>
    <t>PIS</t>
  </si>
  <si>
    <t>6.1</t>
  </si>
  <si>
    <t>I = PIS+COFINS+ISS+CPRB</t>
  </si>
  <si>
    <t>TAXA REPRESENTATIVA DE TRIBUTOS</t>
  </si>
  <si>
    <t>L</t>
  </si>
  <si>
    <t>LUCRO</t>
  </si>
  <si>
    <t>DF</t>
  </si>
  <si>
    <t>DESPESAS FINANCEIRAS</t>
  </si>
  <si>
    <t>R</t>
  </si>
  <si>
    <t>RISCO</t>
  </si>
  <si>
    <t>minimos</t>
  </si>
  <si>
    <t>S + G</t>
  </si>
  <si>
    <t>SEGURO E GARANTIA</t>
  </si>
  <si>
    <t>AC</t>
  </si>
  <si>
    <t>ADMINISTRAÇÃO CENTRAL</t>
  </si>
  <si>
    <t>3º QUARTIL (MÁXIMO)</t>
  </si>
  <si>
    <t>1º QUARTIL (MÍNIMO)</t>
  </si>
  <si>
    <t>SITUAÇÃO</t>
  </si>
  <si>
    <t>PERCENTUAL</t>
  </si>
  <si>
    <t>SIGLAS</t>
  </si>
  <si>
    <t>DESCRIÇÃO ANALÍTICA</t>
  </si>
  <si>
    <t>TIPO DE OBRA</t>
  </si>
  <si>
    <t>VERSÃO 1.18 (Dez/2015)</t>
  </si>
  <si>
    <t>.</t>
  </si>
  <si>
    <t>Programa</t>
  </si>
  <si>
    <t>Localização</t>
  </si>
  <si>
    <t>Empreendimento</t>
  </si>
  <si>
    <t>PREFEITURA MUNICIPAL DE MARACAJA</t>
  </si>
  <si>
    <t>Número do Contrato</t>
  </si>
  <si>
    <t>Agente Promotor</t>
  </si>
  <si>
    <t>Avenida Nossa Senhora da Conceição</t>
  </si>
  <si>
    <t>TOTAL SEM BDI</t>
  </si>
  <si>
    <t>VALOR UNIT.</t>
  </si>
  <si>
    <t>REFERÊNCIA</t>
  </si>
  <si>
    <t>O presente procedimento licitatório tem por objetivo selecionar a proposta mais vantajosa para contratação de empresa especializada no ramo da engenharia, para execução de impermeabilização com borracha liquida em 1.200,00m² de cobertura, do Ginásio de Esportes do Centro Esportivo Municipal Antonio da Rocha, Bairro centro, Município de Maracajá/SC, conforme as especificações mínimas constantes no edital, cronograma, termo referência, planilha orçamentária e demais anexos.</t>
  </si>
  <si>
    <t>Responsável técnico pelos itens:</t>
  </si>
  <si>
    <t xml:space="preserve">Maracajá, 14 de novembro de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</si>
</sst>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_(* #,##0.00_);_(* \(#,##0.00\);_(* &quot;-&quot;??_);_(@_)"/>
    <numFmt numFmtId="165" formatCode="&quot;R$&quot;\ #,##0.00"/>
  </numFmts>
  <fonts count="44" x14ac:knownFonts="1">
    <font>
      <sz val="11"/>
      <color theme="1"/>
      <name val="Calibri"/>
      <family val="2"/>
      <scheme val="minor"/>
    </font>
    <font>
      <sz val="10"/>
      <name val="Arial"/>
      <family val="2"/>
    </font>
    <font>
      <sz val="11"/>
      <color indexed="8"/>
      <name val="Arial"/>
      <family val="2"/>
    </font>
    <font>
      <sz val="9"/>
      <color theme="1"/>
      <name val="Calibri"/>
      <family val="2"/>
      <scheme val="minor"/>
    </font>
    <font>
      <b/>
      <sz val="11"/>
      <color theme="1"/>
      <name val="Calibri"/>
      <family val="2"/>
      <scheme val="minor"/>
    </font>
    <font>
      <sz val="11"/>
      <name val="Arial"/>
      <family val="2"/>
    </font>
    <font>
      <b/>
      <sz val="11"/>
      <name val="Arial"/>
      <family val="2"/>
    </font>
    <font>
      <sz val="11"/>
      <color theme="1"/>
      <name val="Arial"/>
      <family val="2"/>
    </font>
    <font>
      <b/>
      <sz val="11"/>
      <color theme="1"/>
      <name val="Arial"/>
      <family val="2"/>
    </font>
    <font>
      <b/>
      <sz val="12"/>
      <name val="Arial"/>
      <family val="2"/>
    </font>
    <font>
      <sz val="12"/>
      <color theme="1"/>
      <name val="Calibri"/>
      <family val="2"/>
      <scheme val="minor"/>
    </font>
    <font>
      <b/>
      <sz val="14"/>
      <name val="Arial"/>
      <family val="2"/>
    </font>
    <font>
      <b/>
      <sz val="24"/>
      <color theme="1"/>
      <name val="Calibri"/>
      <family val="2"/>
      <scheme val="minor"/>
    </font>
    <font>
      <sz val="8"/>
      <name val="Calibri"/>
      <family val="2"/>
      <scheme val="minor"/>
    </font>
    <font>
      <b/>
      <sz val="16"/>
      <name val="Arial"/>
      <family val="2"/>
    </font>
    <font>
      <b/>
      <sz val="14"/>
      <name val="Calibri"/>
      <family val="2"/>
    </font>
    <font>
      <b/>
      <sz val="14"/>
      <color rgb="FF000000"/>
      <name val="Calibri"/>
      <family val="2"/>
    </font>
    <font>
      <b/>
      <sz val="9"/>
      <name val="Calibri"/>
      <family val="2"/>
    </font>
    <font>
      <b/>
      <sz val="12"/>
      <name val="Calibri"/>
      <family val="2"/>
    </font>
    <font>
      <sz val="12"/>
      <color rgb="FF000000"/>
      <name val="Calibri"/>
      <family val="2"/>
    </font>
    <font>
      <sz val="9"/>
      <color rgb="FF000000"/>
      <name val="Calibri"/>
      <family val="2"/>
    </font>
    <font>
      <sz val="10"/>
      <color rgb="FF000000"/>
      <name val="Calibri"/>
      <family val="2"/>
    </font>
    <font>
      <sz val="12"/>
      <name val="Calibri"/>
      <family val="2"/>
    </font>
    <font>
      <b/>
      <sz val="20"/>
      <name val="Calibri"/>
      <family val="2"/>
    </font>
    <font>
      <b/>
      <sz val="10"/>
      <name val="Arial"/>
      <family val="2"/>
    </font>
    <font>
      <sz val="9"/>
      <color indexed="8"/>
      <name val="Arial"/>
      <family val="2"/>
    </font>
    <font>
      <sz val="9"/>
      <name val="Arial"/>
      <family val="2"/>
    </font>
    <font>
      <b/>
      <sz val="9"/>
      <name val="Arial"/>
      <family val="2"/>
    </font>
    <font>
      <b/>
      <sz val="10"/>
      <color indexed="9"/>
      <name val="Arial"/>
      <family val="2"/>
    </font>
    <font>
      <sz val="8"/>
      <name val="Arial"/>
      <family val="2"/>
    </font>
    <font>
      <b/>
      <sz val="11"/>
      <color indexed="8"/>
      <name val="Arial"/>
      <family val="2"/>
    </font>
    <font>
      <b/>
      <sz val="8"/>
      <name val="Arial"/>
      <family val="2"/>
    </font>
    <font>
      <sz val="8"/>
      <color indexed="8"/>
      <name val="Arial"/>
      <family val="2"/>
    </font>
    <font>
      <sz val="10"/>
      <color indexed="8"/>
      <name val="Arial"/>
      <family val="2"/>
    </font>
    <font>
      <sz val="8"/>
      <color indexed="10"/>
      <name val="Arial"/>
      <family val="2"/>
    </font>
    <font>
      <sz val="10"/>
      <color indexed="9"/>
      <name val="Arial"/>
      <family val="2"/>
    </font>
    <font>
      <b/>
      <sz val="12"/>
      <color indexed="9"/>
      <name val="Arial"/>
      <family val="2"/>
    </font>
    <font>
      <sz val="10"/>
      <color indexed="41"/>
      <name val="Arial"/>
      <family val="2"/>
    </font>
    <font>
      <sz val="7.5"/>
      <color indexed="9"/>
      <name val="Arial"/>
      <family val="2"/>
    </font>
    <font>
      <sz val="7.5"/>
      <name val="Arial"/>
      <family val="2"/>
    </font>
    <font>
      <sz val="7"/>
      <color indexed="9"/>
      <name val="Arial"/>
      <family val="2"/>
    </font>
    <font>
      <sz val="7"/>
      <name val="Arial"/>
      <family val="2"/>
    </font>
    <font>
      <b/>
      <sz val="7"/>
      <name val="Arial"/>
      <family val="2"/>
    </font>
    <font>
      <sz val="8"/>
      <color rgb="FF000000"/>
      <name val="Tahoma"/>
      <family val="2"/>
    </font>
  </fonts>
  <fills count="11">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FFCC"/>
      </patternFill>
    </fill>
    <fill>
      <patternFill patternType="solid">
        <fgColor indexed="43"/>
        <bgColor indexed="64"/>
      </patternFill>
    </fill>
    <fill>
      <patternFill patternType="solid">
        <fgColor indexed="10"/>
        <bgColor indexed="64"/>
      </patternFill>
    </fill>
    <fill>
      <patternFill patternType="solid">
        <fgColor indexed="41"/>
        <bgColor indexed="64"/>
      </patternFill>
    </fill>
    <fill>
      <patternFill patternType="solid">
        <fgColor indexed="42"/>
        <bgColor indexed="64"/>
      </patternFill>
    </fill>
    <fill>
      <patternFill patternType="solid">
        <fgColor indexed="9"/>
        <bgColor indexed="64"/>
      </patternFill>
    </fill>
    <fill>
      <patternFill patternType="solid">
        <fgColor indexed="17"/>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thick">
        <color indexed="64"/>
      </right>
      <top/>
      <bottom style="thick">
        <color indexed="64"/>
      </bottom>
      <diagonal/>
    </border>
    <border>
      <left/>
      <right/>
      <top style="hair">
        <color indexed="64"/>
      </top>
      <bottom style="thick">
        <color indexed="64"/>
      </bottom>
      <diagonal/>
    </border>
    <border>
      <left style="thick">
        <color indexed="64"/>
      </left>
      <right/>
      <top/>
      <bottom style="thick">
        <color indexed="64"/>
      </bottom>
      <diagonal/>
    </border>
    <border>
      <left/>
      <right/>
      <top style="hair">
        <color indexed="64"/>
      </top>
      <bottom/>
      <diagonal/>
    </border>
    <border>
      <left/>
      <right style="thick">
        <color indexed="64"/>
      </right>
      <top/>
      <bottom/>
      <diagonal/>
    </border>
    <border>
      <left/>
      <right/>
      <top style="hair">
        <color indexed="64"/>
      </top>
      <bottom style="hair">
        <color indexed="64"/>
      </bottom>
      <diagonal/>
    </border>
    <border>
      <left style="thick">
        <color indexed="64"/>
      </left>
      <right/>
      <top/>
      <bottom/>
      <diagonal/>
    </border>
    <border>
      <left/>
      <right/>
      <top/>
      <bottom style="hair">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top/>
      <bottom style="thin">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style="thick">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diagonal/>
    </border>
    <border>
      <left style="medium">
        <color indexed="64"/>
      </left>
      <right style="medium">
        <color indexed="64"/>
      </right>
      <top/>
      <bottom style="medium">
        <color indexed="64"/>
      </bottom>
      <diagonal/>
    </border>
    <border>
      <left style="hair">
        <color indexed="64"/>
      </left>
      <right/>
      <top/>
      <bottom/>
      <diagonal/>
    </border>
    <border>
      <left style="medium">
        <color indexed="64"/>
      </left>
      <right style="medium">
        <color indexed="64"/>
      </right>
      <top style="medium">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54"/>
      </right>
      <top style="medium">
        <color indexed="54"/>
      </top>
      <bottom style="medium">
        <color indexed="54"/>
      </bottom>
      <diagonal/>
    </border>
    <border>
      <left/>
      <right style="hair">
        <color indexed="64"/>
      </right>
      <top style="medium">
        <color indexed="54"/>
      </top>
      <bottom style="medium">
        <color indexed="54"/>
      </bottom>
      <diagonal/>
    </border>
    <border>
      <left/>
      <right/>
      <top style="medium">
        <color indexed="54"/>
      </top>
      <bottom style="medium">
        <color indexed="54"/>
      </bottom>
      <diagonal/>
    </border>
    <border>
      <left style="hair">
        <color indexed="64"/>
      </left>
      <right/>
      <top style="hair">
        <color indexed="64"/>
      </top>
      <bottom style="medium">
        <color indexed="54"/>
      </bottom>
      <diagonal/>
    </border>
    <border>
      <left style="medium">
        <color indexed="54"/>
      </left>
      <right style="hair">
        <color indexed="64"/>
      </right>
      <top style="hair">
        <color indexed="64"/>
      </top>
      <bottom style="medium">
        <color indexed="54"/>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54"/>
      </right>
      <top style="hair">
        <color indexed="64"/>
      </top>
      <bottom style="hair">
        <color indexed="64"/>
      </bottom>
      <diagonal/>
    </border>
    <border>
      <left style="medium">
        <color indexed="5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54"/>
      </right>
      <top style="medium">
        <color indexed="54"/>
      </top>
      <bottom style="hair">
        <color indexed="64"/>
      </bottom>
      <diagonal/>
    </border>
    <border>
      <left style="medium">
        <color indexed="54"/>
      </left>
      <right style="hair">
        <color indexed="64"/>
      </right>
      <top style="medium">
        <color indexed="5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8">
    <xf numFmtId="0" fontId="0" fillId="0" borderId="0"/>
    <xf numFmtId="0" fontId="1" fillId="0" borderId="0"/>
    <xf numFmtId="164" fontId="1" fillId="0" borderId="0" applyFont="0" applyFill="0" applyBorder="0" applyAlignment="0" applyProtection="0"/>
    <xf numFmtId="164" fontId="2" fillId="0" borderId="0" applyFont="0" applyFill="0" applyBorder="0" applyAlignment="0" applyProtection="0"/>
    <xf numFmtId="0" fontId="1" fillId="0" borderId="0"/>
    <xf numFmtId="164" fontId="2"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9" fontId="2" fillId="0" borderId="0" applyFont="0" applyFill="0" applyBorder="0" applyAlignment="0" applyProtection="0"/>
    <xf numFmtId="0" fontId="26" fillId="0" borderId="0"/>
    <xf numFmtId="0" fontId="1" fillId="0" borderId="0"/>
  </cellStyleXfs>
  <cellXfs count="212">
    <xf numFmtId="0" fontId="0" fillId="0" borderId="0" xfId="0"/>
    <xf numFmtId="0" fontId="3" fillId="0" borderId="0" xfId="0" applyFont="1"/>
    <xf numFmtId="43" fontId="4" fillId="0" borderId="0" xfId="0" applyNumberFormat="1" applyFont="1"/>
    <xf numFmtId="0" fontId="6" fillId="0" borderId="0" xfId="1" applyFont="1" applyAlignment="1">
      <alignment vertical="center"/>
    </xf>
    <xf numFmtId="0" fontId="7" fillId="0" borderId="1" xfId="0" applyFont="1" applyBorder="1" applyAlignment="1">
      <alignment horizontal="center" vertical="center"/>
    </xf>
    <xf numFmtId="0" fontId="6" fillId="2" borderId="1" xfId="1" applyFont="1" applyFill="1" applyBorder="1" applyAlignment="1">
      <alignment horizontal="center" vertical="center"/>
    </xf>
    <xf numFmtId="0" fontId="5" fillId="0" borderId="1" xfId="8" applyFont="1" applyBorder="1" applyAlignment="1">
      <alignment horizontal="center" vertical="center" wrapText="1"/>
    </xf>
    <xf numFmtId="0" fontId="5" fillId="0" borderId="1" xfId="0" applyFont="1" applyBorder="1" applyAlignment="1">
      <alignment horizontal="center" vertical="center"/>
    </xf>
    <xf numFmtId="164" fontId="6" fillId="2" borderId="1" xfId="2" applyFont="1" applyFill="1" applyBorder="1" applyAlignment="1">
      <alignment horizontal="center" vertical="center"/>
    </xf>
    <xf numFmtId="4" fontId="6" fillId="2" borderId="1" xfId="1" applyNumberFormat="1" applyFont="1" applyFill="1" applyBorder="1" applyAlignment="1">
      <alignment horizontal="center" vertical="center"/>
    </xf>
    <xf numFmtId="165" fontId="7" fillId="0" borderId="1" xfId="0" applyNumberFormat="1" applyFont="1" applyBorder="1" applyAlignment="1">
      <alignment horizontal="right" vertical="center"/>
    </xf>
    <xf numFmtId="0" fontId="10" fillId="0" borderId="0" xfId="0" applyFont="1"/>
    <xf numFmtId="44" fontId="8" fillId="3" borderId="1" xfId="0" applyNumberFormat="1" applyFont="1" applyFill="1" applyBorder="1" applyAlignment="1">
      <alignment horizontal="right" vertical="center"/>
    </xf>
    <xf numFmtId="14" fontId="7" fillId="0" borderId="1" xfId="0" applyNumberFormat="1" applyFont="1" applyBorder="1" applyAlignment="1">
      <alignment horizontal="center" vertical="center"/>
    </xf>
    <xf numFmtId="14" fontId="6" fillId="2" borderId="1" xfId="2" applyNumberFormat="1" applyFont="1" applyFill="1" applyBorder="1" applyAlignment="1">
      <alignment horizontal="center" vertical="center"/>
    </xf>
    <xf numFmtId="14" fontId="0" fillId="0" borderId="0" xfId="0" applyNumberFormat="1"/>
    <xf numFmtId="4" fontId="7" fillId="0" borderId="1" xfId="0" applyNumberFormat="1" applyFont="1" applyBorder="1" applyAlignment="1">
      <alignment horizontal="right" vertical="center"/>
    </xf>
    <xf numFmtId="0" fontId="7" fillId="0" borderId="1" xfId="0" applyFont="1" applyBorder="1" applyAlignment="1">
      <alignment horizontal="left" vertical="center" wrapText="1"/>
    </xf>
    <xf numFmtId="10" fontId="6" fillId="2" borderId="1" xfId="2" applyNumberFormat="1" applyFont="1" applyFill="1" applyBorder="1" applyAlignment="1">
      <alignment horizontal="center" vertical="center"/>
    </xf>
    <xf numFmtId="4" fontId="7" fillId="0" borderId="1" xfId="0" applyNumberFormat="1" applyFont="1" applyBorder="1" applyAlignment="1">
      <alignment horizontal="center" vertical="center"/>
    </xf>
    <xf numFmtId="0" fontId="7" fillId="3" borderId="1" xfId="0" applyFont="1" applyFill="1" applyBorder="1" applyAlignment="1">
      <alignment horizontal="center" vertical="center"/>
    </xf>
    <xf numFmtId="0" fontId="18" fillId="0" borderId="6" xfId="0" applyFont="1" applyBorder="1" applyAlignment="1">
      <alignment horizontal="center" vertical="center" wrapText="1"/>
    </xf>
    <xf numFmtId="0" fontId="17" fillId="0" borderId="6" xfId="0" applyFont="1" applyBorder="1" applyAlignment="1">
      <alignment horizontal="center" vertical="center" wrapText="1"/>
    </xf>
    <xf numFmtId="1" fontId="19" fillId="0" borderId="6" xfId="0" applyNumberFormat="1" applyFont="1" applyBorder="1" applyAlignment="1">
      <alignment horizontal="center" vertical="center" shrinkToFit="1"/>
    </xf>
    <xf numFmtId="10" fontId="19" fillId="4" borderId="6" xfId="0" applyNumberFormat="1" applyFont="1" applyFill="1" applyBorder="1" applyAlignment="1">
      <alignment horizontal="center" vertical="center" shrinkToFit="1"/>
    </xf>
    <xf numFmtId="10" fontId="19" fillId="0" borderId="6" xfId="0" applyNumberFormat="1" applyFont="1" applyBorder="1" applyAlignment="1">
      <alignment horizontal="center" vertical="center" shrinkToFit="1"/>
    </xf>
    <xf numFmtId="10" fontId="19" fillId="0" borderId="4" xfId="0" applyNumberFormat="1" applyFont="1" applyBorder="1" applyAlignment="1">
      <alignment horizontal="center" vertical="center" wrapText="1"/>
    </xf>
    <xf numFmtId="0" fontId="20" fillId="4" borderId="4" xfId="0" applyFont="1" applyFill="1" applyBorder="1" applyAlignment="1">
      <alignment horizontal="center" vertical="center" wrapText="1"/>
    </xf>
    <xf numFmtId="0" fontId="20" fillId="0" borderId="4" xfId="0" applyFont="1" applyBorder="1" applyAlignment="1">
      <alignment horizontal="center" vertical="center" wrapText="1"/>
    </xf>
    <xf numFmtId="1" fontId="21" fillId="0" borderId="1" xfId="0" applyNumberFormat="1" applyFont="1" applyBorder="1" applyAlignment="1">
      <alignment horizontal="center" vertical="center" shrinkToFit="1"/>
    </xf>
    <xf numFmtId="9" fontId="21" fillId="4" borderId="1" xfId="0" applyNumberFormat="1" applyFont="1" applyFill="1" applyBorder="1" applyAlignment="1">
      <alignment horizontal="center" vertical="center" shrinkToFit="1"/>
    </xf>
    <xf numFmtId="44" fontId="21" fillId="0" borderId="7" xfId="0" applyNumberFormat="1" applyFont="1" applyBorder="1" applyAlignment="1">
      <alignment horizontal="center" vertical="center"/>
    </xf>
    <xf numFmtId="44" fontId="21" fillId="4" borderId="1" xfId="0" applyNumberFormat="1" applyFont="1" applyFill="1" applyBorder="1" applyAlignment="1">
      <alignment horizontal="center" vertical="center" shrinkToFit="1"/>
    </xf>
    <xf numFmtId="44" fontId="21" fillId="4" borderId="1" xfId="0" applyNumberFormat="1" applyFont="1" applyFill="1" applyBorder="1" applyAlignment="1">
      <alignment horizontal="center" vertical="center" wrapText="1"/>
    </xf>
    <xf numFmtId="0" fontId="21" fillId="4" borderId="1"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1" fillId="2" borderId="0" xfId="10" applyFill="1"/>
    <xf numFmtId="0" fontId="1" fillId="0" borderId="0" xfId="10"/>
    <xf numFmtId="0" fontId="24" fillId="0" borderId="0" xfId="10" applyFont="1"/>
    <xf numFmtId="0" fontId="2" fillId="0" borderId="0" xfId="11"/>
    <xf numFmtId="0" fontId="1" fillId="0" borderId="11" xfId="10" applyBorder="1"/>
    <xf numFmtId="0" fontId="25" fillId="0" borderId="13" xfId="11" applyFont="1" applyBorder="1" applyAlignment="1">
      <alignment horizontal="right"/>
    </xf>
    <xf numFmtId="0" fontId="26" fillId="5" borderId="14" xfId="12" applyFont="1" applyFill="1" applyBorder="1" applyAlignment="1" applyProtection="1">
      <alignment vertical="center"/>
      <protection locked="0"/>
    </xf>
    <xf numFmtId="0" fontId="26" fillId="0" borderId="0" xfId="12" applyFont="1" applyAlignment="1">
      <alignment horizontal="right" vertical="center"/>
    </xf>
    <xf numFmtId="0" fontId="1" fillId="0" borderId="15" xfId="10" applyBorder="1"/>
    <xf numFmtId="0" fontId="25" fillId="0" borderId="17" xfId="11" applyFont="1" applyBorder="1" applyAlignment="1">
      <alignment horizontal="right"/>
    </xf>
    <xf numFmtId="0" fontId="26" fillId="5" borderId="16" xfId="12" applyFont="1" applyFill="1" applyBorder="1" applyAlignment="1" applyProtection="1">
      <alignment vertical="center"/>
      <protection locked="0"/>
    </xf>
    <xf numFmtId="0" fontId="26" fillId="2" borderId="0" xfId="10" applyFont="1" applyFill="1"/>
    <xf numFmtId="0" fontId="1" fillId="0" borderId="17" xfId="10" applyBorder="1" applyAlignment="1">
      <alignment horizontal="right"/>
    </xf>
    <xf numFmtId="0" fontId="1" fillId="5" borderId="18" xfId="10" applyFill="1" applyBorder="1" applyProtection="1">
      <protection locked="0"/>
    </xf>
    <xf numFmtId="0" fontId="26" fillId="0" borderId="0" xfId="10" applyFont="1"/>
    <xf numFmtId="0" fontId="1" fillId="0" borderId="17" xfId="10" applyBorder="1"/>
    <xf numFmtId="0" fontId="27" fillId="0" borderId="0" xfId="12" applyFont="1" applyAlignment="1">
      <alignment horizontal="center" vertical="center"/>
    </xf>
    <xf numFmtId="0" fontId="26" fillId="0" borderId="0" xfId="12" applyFont="1" applyAlignment="1">
      <alignment vertical="center"/>
    </xf>
    <xf numFmtId="0" fontId="1" fillId="0" borderId="20" xfId="10" applyBorder="1"/>
    <xf numFmtId="0" fontId="1" fillId="0" borderId="0" xfId="10" applyAlignment="1">
      <alignment horizontal="left"/>
    </xf>
    <xf numFmtId="0" fontId="26" fillId="0" borderId="0" xfId="10" applyFont="1" applyAlignment="1">
      <alignment horizontal="left"/>
    </xf>
    <xf numFmtId="0" fontId="26" fillId="0" borderId="1" xfId="10" applyFont="1" applyBorder="1" applyAlignment="1">
      <alignment horizontal="left"/>
    </xf>
    <xf numFmtId="0" fontId="27" fillId="0" borderId="0" xfId="12" applyFont="1" applyAlignment="1">
      <alignment horizontal="left" vertical="center"/>
    </xf>
    <xf numFmtId="0" fontId="27" fillId="0" borderId="0" xfId="10" applyFont="1"/>
    <xf numFmtId="0" fontId="1" fillId="0" borderId="1" xfId="10" applyBorder="1" applyAlignment="1">
      <alignment horizontal="left"/>
    </xf>
    <xf numFmtId="0" fontId="29" fillId="0" borderId="0" xfId="10" applyFont="1"/>
    <xf numFmtId="10" fontId="1" fillId="0" borderId="0" xfId="10" applyNumberFormat="1"/>
    <xf numFmtId="0" fontId="31" fillId="0" borderId="0" xfId="10" applyFont="1" applyAlignment="1">
      <alignment horizontal="left" wrapText="1"/>
    </xf>
    <xf numFmtId="0" fontId="32" fillId="0" borderId="0" xfId="11" applyFont="1"/>
    <xf numFmtId="14" fontId="31" fillId="0" borderId="0" xfId="13" applyNumberFormat="1" applyFont="1" applyAlignment="1" applyProtection="1">
      <alignment horizontal="center" vertical="center" textRotation="180" wrapText="1"/>
      <protection hidden="1"/>
    </xf>
    <xf numFmtId="0" fontId="1" fillId="0" borderId="0" xfId="10" applyAlignment="1">
      <alignment horizontal="left" wrapText="1"/>
    </xf>
    <xf numFmtId="14" fontId="31" fillId="0" borderId="0" xfId="13" applyNumberFormat="1" applyFont="1" applyAlignment="1" applyProtection="1">
      <alignment vertical="center" wrapText="1"/>
      <protection hidden="1"/>
    </xf>
    <xf numFmtId="0" fontId="2" fillId="0" borderId="0" xfId="11" applyAlignment="1">
      <alignment horizontal="center" vertical="center"/>
    </xf>
    <xf numFmtId="14" fontId="31" fillId="0" borderId="33" xfId="13" applyNumberFormat="1" applyFont="1" applyBorder="1" applyAlignment="1" applyProtection="1">
      <alignment vertical="center" wrapText="1"/>
      <protection hidden="1"/>
    </xf>
    <xf numFmtId="0" fontId="2" fillId="0" borderId="18" xfId="11" applyBorder="1" applyAlignment="1">
      <alignment horizontal="center" vertical="center"/>
    </xf>
    <xf numFmtId="0" fontId="2" fillId="0" borderId="34" xfId="11" applyBorder="1" applyAlignment="1">
      <alignment horizontal="center" vertical="center"/>
    </xf>
    <xf numFmtId="0" fontId="2" fillId="0" borderId="37" xfId="11" applyBorder="1" applyAlignment="1">
      <alignment horizontal="center" vertical="center"/>
    </xf>
    <xf numFmtId="0" fontId="24" fillId="0" borderId="0" xfId="14" applyFont="1" applyAlignment="1">
      <alignment horizontal="center" vertical="center"/>
    </xf>
    <xf numFmtId="0" fontId="34" fillId="0" borderId="0" xfId="10" applyFont="1" applyAlignment="1">
      <alignment vertical="center" wrapText="1"/>
    </xf>
    <xf numFmtId="0" fontId="31" fillId="0" borderId="0" xfId="13" applyFont="1" applyAlignment="1" applyProtection="1">
      <alignment horizontal="center" vertical="center" wrapText="1"/>
      <protection hidden="1"/>
    </xf>
    <xf numFmtId="0" fontId="34" fillId="0" borderId="21" xfId="10" applyFont="1" applyBorder="1" applyAlignment="1">
      <alignment vertical="center" wrapText="1"/>
    </xf>
    <xf numFmtId="10" fontId="5" fillId="7" borderId="42" xfId="11" applyNumberFormat="1" applyFont="1" applyFill="1" applyBorder="1" applyAlignment="1">
      <alignment horizontal="center" wrapText="1"/>
    </xf>
    <xf numFmtId="0" fontId="1" fillId="0" borderId="43" xfId="10" applyBorder="1" applyAlignment="1">
      <alignment horizontal="center" wrapText="1"/>
    </xf>
    <xf numFmtId="10" fontId="1" fillId="9" borderId="44" xfId="10" applyNumberFormat="1" applyFill="1" applyBorder="1" applyAlignment="1">
      <alignment horizontal="center" wrapText="1"/>
    </xf>
    <xf numFmtId="0" fontId="29" fillId="0" borderId="45" xfId="10" applyFont="1" applyBorder="1" applyAlignment="1">
      <alignment horizontal="center" wrapText="1"/>
    </xf>
    <xf numFmtId="14" fontId="29" fillId="0" borderId="46" xfId="13" applyNumberFormat="1" applyFont="1" applyBorder="1" applyAlignment="1" applyProtection="1">
      <alignment vertical="center" wrapText="1"/>
      <protection hidden="1"/>
    </xf>
    <xf numFmtId="0" fontId="29" fillId="0" borderId="46" xfId="13" applyFont="1" applyBorder="1" applyAlignment="1" applyProtection="1">
      <alignment horizontal="center" vertical="center" wrapText="1"/>
      <protection hidden="1"/>
    </xf>
    <xf numFmtId="10" fontId="1" fillId="0" borderId="47" xfId="10" applyNumberFormat="1" applyBorder="1" applyAlignment="1" applyProtection="1">
      <alignment horizontal="center" wrapText="1"/>
      <protection locked="0"/>
    </xf>
    <xf numFmtId="10" fontId="1" fillId="0" borderId="48" xfId="10" applyNumberFormat="1" applyBorder="1" applyAlignment="1" applyProtection="1">
      <alignment horizontal="center" wrapText="1"/>
      <protection locked="0"/>
    </xf>
    <xf numFmtId="0" fontId="1" fillId="0" borderId="7" xfId="10" applyBorder="1"/>
    <xf numFmtId="10" fontId="5" fillId="7" borderId="49" xfId="11" applyNumberFormat="1" applyFont="1" applyFill="1" applyBorder="1" applyAlignment="1">
      <alignment horizontal="center" wrapText="1"/>
    </xf>
    <xf numFmtId="0" fontId="1" fillId="0" borderId="50" xfId="10" applyBorder="1" applyAlignment="1">
      <alignment horizontal="center" wrapText="1"/>
    </xf>
    <xf numFmtId="10" fontId="1" fillId="0" borderId="51" xfId="10" applyNumberFormat="1" applyBorder="1" applyAlignment="1">
      <alignment horizontal="center" wrapText="1"/>
    </xf>
    <xf numFmtId="0" fontId="29" fillId="0" borderId="51" xfId="10" applyFont="1" applyBorder="1" applyAlignment="1">
      <alignment horizontal="center" wrapText="1"/>
    </xf>
    <xf numFmtId="14" fontId="29" fillId="0" borderId="51" xfId="13" applyNumberFormat="1" applyFont="1" applyBorder="1" applyAlignment="1" applyProtection="1">
      <alignment vertical="center" wrapText="1"/>
      <protection hidden="1"/>
    </xf>
    <xf numFmtId="0" fontId="29" fillId="0" borderId="39" xfId="13" applyFont="1" applyBorder="1" applyAlignment="1" applyProtection="1">
      <alignment horizontal="center" vertical="center" wrapText="1"/>
      <protection hidden="1"/>
    </xf>
    <xf numFmtId="10" fontId="5" fillId="7" borderId="54" xfId="11" applyNumberFormat="1" applyFont="1" applyFill="1" applyBorder="1" applyAlignment="1">
      <alignment horizontal="center" wrapText="1"/>
    </xf>
    <xf numFmtId="10" fontId="1" fillId="0" borderId="50" xfId="10" applyNumberFormat="1" applyBorder="1" applyAlignment="1">
      <alignment horizontal="center" wrapText="1"/>
    </xf>
    <xf numFmtId="0" fontId="29" fillId="0" borderId="50" xfId="10" applyFont="1" applyBorder="1" applyAlignment="1">
      <alignment horizontal="center" wrapText="1"/>
    </xf>
    <xf numFmtId="14" fontId="29" fillId="0" borderId="50" xfId="13" applyNumberFormat="1" applyFont="1" applyBorder="1" applyAlignment="1" applyProtection="1">
      <alignment vertical="center" wrapText="1"/>
      <protection hidden="1"/>
    </xf>
    <xf numFmtId="0" fontId="29" fillId="0" borderId="55" xfId="13" applyFont="1" applyBorder="1" applyAlignment="1" applyProtection="1">
      <alignment horizontal="center" vertical="center" wrapText="1"/>
      <protection hidden="1"/>
    </xf>
    <xf numFmtId="2" fontId="1" fillId="0" borderId="0" xfId="10" applyNumberFormat="1" applyAlignment="1">
      <alignment horizontal="left"/>
    </xf>
    <xf numFmtId="10" fontId="2" fillId="0" borderId="0" xfId="11" applyNumberFormat="1" applyAlignment="1">
      <alignment horizontal="left" wrapText="1"/>
    </xf>
    <xf numFmtId="10" fontId="1" fillId="0" borderId="50" xfId="10" applyNumberFormat="1" applyBorder="1" applyAlignment="1" applyProtection="1">
      <alignment horizontal="center" wrapText="1"/>
      <protection locked="0"/>
    </xf>
    <xf numFmtId="10" fontId="1" fillId="0" borderId="0" xfId="10" applyNumberFormat="1" applyAlignment="1">
      <alignment horizontal="left"/>
    </xf>
    <xf numFmtId="0" fontId="1" fillId="0" borderId="58" xfId="10" applyBorder="1" applyAlignment="1">
      <alignment horizontal="center" wrapText="1"/>
    </xf>
    <xf numFmtId="10" fontId="1" fillId="0" borderId="58" xfId="10" applyNumberFormat="1" applyBorder="1" applyAlignment="1" applyProtection="1">
      <alignment horizontal="center" wrapText="1"/>
      <protection locked="0"/>
    </xf>
    <xf numFmtId="0" fontId="29" fillId="0" borderId="58" xfId="10" applyFont="1" applyBorder="1" applyAlignment="1">
      <alignment horizontal="center" wrapText="1"/>
    </xf>
    <xf numFmtId="14" fontId="29" fillId="0" borderId="58" xfId="13" applyNumberFormat="1" applyFont="1" applyBorder="1" applyAlignment="1" applyProtection="1">
      <alignment vertical="center" wrapText="1"/>
      <protection hidden="1"/>
    </xf>
    <xf numFmtId="0" fontId="29" fillId="0" borderId="59" xfId="13" applyFont="1" applyBorder="1" applyAlignment="1" applyProtection="1">
      <alignment horizontal="center" vertical="center" wrapText="1"/>
      <protection hidden="1"/>
    </xf>
    <xf numFmtId="14" fontId="31" fillId="0" borderId="60" xfId="13" applyNumberFormat="1" applyFont="1" applyBorder="1" applyAlignment="1" applyProtection="1">
      <alignment horizontal="center" vertical="center" wrapText="1"/>
      <protection hidden="1"/>
    </xf>
    <xf numFmtId="14" fontId="31" fillId="0" borderId="61" xfId="13" applyNumberFormat="1" applyFont="1" applyBorder="1" applyAlignment="1" applyProtection="1">
      <alignment horizontal="center" vertical="center" wrapText="1"/>
      <protection hidden="1"/>
    </xf>
    <xf numFmtId="0" fontId="31" fillId="0" borderId="61" xfId="13" applyFont="1" applyBorder="1" applyAlignment="1" applyProtection="1">
      <alignment horizontal="center" vertical="center" wrapText="1"/>
      <protection hidden="1"/>
    </xf>
    <xf numFmtId="10" fontId="1" fillId="0" borderId="0" xfId="10" applyNumberFormat="1" applyAlignment="1">
      <alignment horizontal="center" wrapText="1"/>
    </xf>
    <xf numFmtId="0" fontId="1" fillId="0" borderId="65" xfId="10" applyBorder="1" applyProtection="1">
      <protection locked="0"/>
    </xf>
    <xf numFmtId="14" fontId="31" fillId="0" borderId="0" xfId="13" applyNumberFormat="1" applyFont="1" applyAlignment="1" applyProtection="1">
      <alignment horizontal="center" vertical="center" wrapText="1"/>
      <protection hidden="1"/>
    </xf>
    <xf numFmtId="14" fontId="31" fillId="0" borderId="0" xfId="13" applyNumberFormat="1" applyFont="1" applyAlignment="1" applyProtection="1">
      <alignment vertical="center" textRotation="180" wrapText="1"/>
      <protection hidden="1"/>
    </xf>
    <xf numFmtId="0" fontId="35" fillId="2" borderId="0" xfId="10" applyFont="1" applyFill="1"/>
    <xf numFmtId="0" fontId="35" fillId="0" borderId="0" xfId="10" applyFont="1"/>
    <xf numFmtId="0" fontId="35" fillId="0" borderId="0" xfId="10" applyFont="1" applyAlignment="1" applyProtection="1">
      <alignment horizontal="left"/>
      <protection locked="0"/>
    </xf>
    <xf numFmtId="0" fontId="37" fillId="0" borderId="0" xfId="10" applyFont="1" applyAlignment="1">
      <alignment horizontal="right"/>
    </xf>
    <xf numFmtId="0" fontId="38" fillId="0" borderId="0" xfId="11" applyFont="1" applyAlignment="1">
      <alignment horizontal="center"/>
    </xf>
    <xf numFmtId="2" fontId="39" fillId="5" borderId="66" xfId="16" applyNumberFormat="1" applyFont="1" applyFill="1" applyBorder="1" applyAlignment="1" applyProtection="1">
      <alignment horizontal="left"/>
      <protection locked="0"/>
    </xf>
    <xf numFmtId="0" fontId="40" fillId="0" borderId="0" xfId="11" applyFont="1" applyAlignment="1">
      <alignment horizontal="center"/>
    </xf>
    <xf numFmtId="0" fontId="41" fillId="0" borderId="0" xfId="12" applyFont="1" applyProtection="1">
      <protection hidden="1"/>
    </xf>
    <xf numFmtId="0" fontId="42" fillId="0" borderId="0" xfId="17" applyFont="1" applyProtection="1">
      <protection hidden="1"/>
    </xf>
    <xf numFmtId="0" fontId="41" fillId="0" borderId="0" xfId="17" applyFont="1" applyProtection="1">
      <protection hidden="1"/>
    </xf>
    <xf numFmtId="165" fontId="8" fillId="3" borderId="1" xfId="0" applyNumberFormat="1" applyFont="1" applyFill="1" applyBorder="1" applyAlignment="1">
      <alignment horizontal="right" vertical="center"/>
    </xf>
    <xf numFmtId="0" fontId="6" fillId="0" borderId="1" xfId="1" applyFont="1" applyBorder="1" applyAlignment="1">
      <alignment horizontal="center" vertical="center"/>
    </xf>
    <xf numFmtId="0" fontId="6" fillId="3" borderId="1" xfId="1" applyFont="1" applyFill="1" applyBorder="1" applyAlignment="1">
      <alignment horizontal="center" vertical="center"/>
    </xf>
    <xf numFmtId="164" fontId="9" fillId="0" borderId="1" xfId="3" applyFont="1" applyFill="1" applyBorder="1" applyAlignment="1">
      <alignment horizontal="right" vertical="center"/>
    </xf>
    <xf numFmtId="0" fontId="12" fillId="0" borderId="1" xfId="0" applyFont="1" applyBorder="1" applyAlignment="1">
      <alignment horizontal="center" vertical="center"/>
    </xf>
    <xf numFmtId="0" fontId="7" fillId="3" borderId="1" xfId="0" applyFont="1" applyFill="1" applyBorder="1" applyAlignment="1">
      <alignment horizontal="center" vertical="center"/>
    </xf>
    <xf numFmtId="164" fontId="9" fillId="0" borderId="1" xfId="3" applyFont="1" applyFill="1" applyBorder="1" applyAlignment="1">
      <alignment horizontal="center" vertical="center"/>
    </xf>
    <xf numFmtId="164" fontId="11" fillId="0" borderId="1" xfId="3" applyFont="1" applyFill="1" applyBorder="1" applyAlignment="1">
      <alignment horizontal="left" vertical="center" wrapText="1"/>
    </xf>
    <xf numFmtId="164" fontId="14" fillId="0" borderId="1" xfId="3" applyFont="1" applyFill="1" applyBorder="1" applyAlignment="1">
      <alignment horizontal="left" vertical="center"/>
    </xf>
    <xf numFmtId="0" fontId="9" fillId="0" borderId="1" xfId="3" applyNumberFormat="1" applyFont="1" applyFill="1" applyBorder="1" applyAlignment="1">
      <alignment horizontal="center" vertical="center" wrapText="1"/>
    </xf>
    <xf numFmtId="164" fontId="9" fillId="0" borderId="1" xfId="3" applyFont="1" applyFill="1" applyBorder="1" applyAlignment="1">
      <alignment horizontal="left" vertical="center"/>
    </xf>
    <xf numFmtId="0" fontId="23" fillId="0" borderId="1" xfId="0" applyFont="1" applyBorder="1" applyAlignment="1">
      <alignment horizontal="center" vertical="center" wrapText="1"/>
    </xf>
    <xf numFmtId="0" fontId="0" fillId="0" borderId="0" xfId="0" applyAlignment="1">
      <alignment horizontal="center"/>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5" fillId="0" borderId="9"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9" fillId="0" borderId="67"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68" xfId="0" applyFont="1" applyBorder="1" applyAlignment="1">
      <alignment horizontal="center" vertical="center" wrapText="1"/>
    </xf>
    <xf numFmtId="0" fontId="22" fillId="0" borderId="32" xfId="0" applyFont="1" applyBorder="1" applyAlignment="1">
      <alignment horizontal="left" vertical="top" wrapText="1"/>
    </xf>
    <xf numFmtId="0" fontId="22" fillId="0" borderId="21" xfId="0" applyFont="1" applyBorder="1" applyAlignment="1">
      <alignment horizontal="left" vertical="top" wrapText="1"/>
    </xf>
    <xf numFmtId="0" fontId="22" fillId="0" borderId="31" xfId="0" applyFont="1" applyBorder="1" applyAlignment="1">
      <alignment horizontal="left" vertical="top" wrapText="1"/>
    </xf>
    <xf numFmtId="0" fontId="31" fillId="7" borderId="32" xfId="10" applyFont="1" applyFill="1" applyBorder="1" applyAlignment="1">
      <alignment horizontal="left" wrapText="1"/>
    </xf>
    <xf numFmtId="0" fontId="31" fillId="7" borderId="21" xfId="10" applyFont="1" applyFill="1" applyBorder="1" applyAlignment="1">
      <alignment horizontal="left" wrapText="1"/>
    </xf>
    <xf numFmtId="0" fontId="31" fillId="7" borderId="31" xfId="10" applyFont="1" applyFill="1" applyBorder="1" applyAlignment="1">
      <alignment horizontal="left" wrapText="1"/>
    </xf>
    <xf numFmtId="0" fontId="31" fillId="7" borderId="30" xfId="10" applyFont="1" applyFill="1" applyBorder="1" applyAlignment="1">
      <alignment horizontal="left" wrapText="1"/>
    </xf>
    <xf numFmtId="0" fontId="31" fillId="7" borderId="22" xfId="10" applyFont="1" applyFill="1" applyBorder="1" applyAlignment="1">
      <alignment horizontal="left" wrapText="1"/>
    </xf>
    <xf numFmtId="0" fontId="31" fillId="7" borderId="29" xfId="10" applyFont="1" applyFill="1" applyBorder="1" applyAlignment="1">
      <alignment horizontal="left" wrapText="1"/>
    </xf>
    <xf numFmtId="0" fontId="6" fillId="0" borderId="0" xfId="10" applyFont="1" applyAlignment="1">
      <alignment horizontal="left" vertical="center" wrapText="1"/>
    </xf>
    <xf numFmtId="0" fontId="30" fillId="0" borderId="0" xfId="11" applyFont="1" applyAlignment="1">
      <alignment horizontal="left" vertical="center" wrapText="1"/>
    </xf>
    <xf numFmtId="0" fontId="1" fillId="0" borderId="16" xfId="10" applyBorder="1" applyAlignment="1" applyProtection="1">
      <alignment horizontal="center"/>
      <protection locked="0"/>
    </xf>
    <xf numFmtId="0" fontId="1" fillId="0" borderId="12" xfId="10" applyBorder="1" applyAlignment="1" applyProtection="1">
      <alignment horizontal="center"/>
      <protection locked="0"/>
    </xf>
    <xf numFmtId="0" fontId="28" fillId="6" borderId="28" xfId="10" applyFont="1" applyFill="1" applyBorder="1" applyAlignment="1">
      <alignment horizontal="center"/>
    </xf>
    <xf numFmtId="0" fontId="28" fillId="6" borderId="27" xfId="10" applyFont="1" applyFill="1" applyBorder="1" applyAlignment="1">
      <alignment horizontal="center"/>
    </xf>
    <xf numFmtId="0" fontId="28" fillId="6" borderId="26" xfId="10" applyFont="1" applyFill="1" applyBorder="1" applyAlignment="1">
      <alignment horizontal="center"/>
    </xf>
    <xf numFmtId="0" fontId="26" fillId="0" borderId="25" xfId="10" applyFont="1" applyBorder="1" applyAlignment="1">
      <alignment horizontal="left" vertical="center" wrapText="1"/>
    </xf>
    <xf numFmtId="0" fontId="26" fillId="0" borderId="24" xfId="10" applyFont="1" applyBorder="1" applyAlignment="1">
      <alignment horizontal="left" vertical="center" wrapText="1"/>
    </xf>
    <xf numFmtId="0" fontId="26" fillId="0" borderId="23" xfId="10" applyFont="1" applyBorder="1" applyAlignment="1">
      <alignment horizontal="left" vertical="center" wrapText="1"/>
    </xf>
    <xf numFmtId="0" fontId="26" fillId="0" borderId="17" xfId="10" applyFont="1" applyBorder="1" applyAlignment="1">
      <alignment horizontal="left" vertical="center" wrapText="1"/>
    </xf>
    <xf numFmtId="0" fontId="26" fillId="0" borderId="0" xfId="10" applyFont="1" applyAlignment="1">
      <alignment horizontal="left" vertical="center" wrapText="1"/>
    </xf>
    <xf numFmtId="0" fontId="26" fillId="0" borderId="15" xfId="10" applyFont="1" applyBorder="1" applyAlignment="1">
      <alignment horizontal="left" vertical="center" wrapText="1"/>
    </xf>
    <xf numFmtId="14" fontId="1" fillId="5" borderId="22" xfId="6" applyNumberFormat="1" applyFont="1" applyFill="1" applyBorder="1" applyAlignment="1" applyProtection="1">
      <alignment horizontal="center"/>
      <protection locked="0"/>
    </xf>
    <xf numFmtId="0" fontId="1" fillId="0" borderId="21" xfId="13" applyBorder="1" applyAlignment="1">
      <alignment horizontal="center"/>
    </xf>
    <xf numFmtId="0" fontId="27" fillId="0" borderId="19" xfId="10" applyFont="1" applyBorder="1" applyAlignment="1">
      <alignment horizontal="center"/>
    </xf>
    <xf numFmtId="0" fontId="1" fillId="0" borderId="18" xfId="10" applyBorder="1" applyAlignment="1" applyProtection="1">
      <alignment horizontal="center"/>
      <protection locked="0"/>
    </xf>
    <xf numFmtId="0" fontId="24" fillId="0" borderId="34" xfId="10" applyFont="1" applyBorder="1" applyAlignment="1">
      <alignment horizontal="center" wrapText="1"/>
    </xf>
    <xf numFmtId="0" fontId="30" fillId="0" borderId="18" xfId="11" applyFont="1" applyBorder="1" applyAlignment="1">
      <alignment horizontal="center" wrapText="1"/>
    </xf>
    <xf numFmtId="0" fontId="30" fillId="0" borderId="41" xfId="11" applyFont="1" applyBorder="1" applyAlignment="1">
      <alignment horizontal="center" wrapText="1"/>
    </xf>
    <xf numFmtId="0" fontId="24" fillId="8" borderId="30" xfId="10" applyFont="1" applyFill="1" applyBorder="1" applyAlignment="1">
      <alignment horizontal="center"/>
    </xf>
    <xf numFmtId="0" fontId="24" fillId="8" borderId="29" xfId="10" applyFont="1" applyFill="1" applyBorder="1" applyAlignment="1">
      <alignment horizontal="center"/>
    </xf>
    <xf numFmtId="0" fontId="24" fillId="0" borderId="40" xfId="14" applyFont="1" applyBorder="1" applyAlignment="1">
      <alignment horizontal="left" vertical="center" wrapText="1"/>
    </xf>
    <xf numFmtId="0" fontId="24" fillId="0" borderId="14" xfId="14" applyFont="1" applyBorder="1" applyAlignment="1">
      <alignment horizontal="left" vertical="center" wrapText="1"/>
    </xf>
    <xf numFmtId="0" fontId="24" fillId="0" borderId="39" xfId="14" applyFont="1" applyBorder="1" applyAlignment="1">
      <alignment horizontal="left" vertical="center" wrapText="1"/>
    </xf>
    <xf numFmtId="2" fontId="11" fillId="0" borderId="38" xfId="14" applyNumberFormat="1" applyFont="1" applyBorder="1" applyAlignment="1">
      <alignment horizontal="center" vertical="center"/>
    </xf>
    <xf numFmtId="0" fontId="2" fillId="0" borderId="36" xfId="11" applyBorder="1" applyAlignment="1">
      <alignment horizontal="center" vertical="center"/>
    </xf>
    <xf numFmtId="10" fontId="11" fillId="0" borderId="38" xfId="15" applyNumberFormat="1" applyFont="1" applyFill="1" applyBorder="1" applyAlignment="1" applyProtection="1">
      <alignment horizontal="center" vertical="center"/>
    </xf>
    <xf numFmtId="2" fontId="1" fillId="0" borderId="21" xfId="14" applyNumberFormat="1" applyBorder="1" applyAlignment="1">
      <alignment horizontal="center" vertical="center" wrapText="1"/>
    </xf>
    <xf numFmtId="0" fontId="33" fillId="0" borderId="21" xfId="11" applyFont="1" applyBorder="1" applyAlignment="1">
      <alignment wrapText="1"/>
    </xf>
    <xf numFmtId="0" fontId="33" fillId="0" borderId="31" xfId="11" applyFont="1" applyBorder="1" applyAlignment="1">
      <alignment wrapText="1"/>
    </xf>
    <xf numFmtId="0" fontId="33" fillId="0" borderId="0" xfId="11" applyFont="1" applyAlignment="1">
      <alignment wrapText="1"/>
    </xf>
    <xf numFmtId="0" fontId="33" fillId="0" borderId="35" xfId="11" applyFont="1" applyBorder="1" applyAlignment="1">
      <alignment wrapText="1"/>
    </xf>
    <xf numFmtId="0" fontId="33" fillId="0" borderId="30" xfId="11" applyFont="1" applyBorder="1" applyAlignment="1">
      <alignment wrapText="1"/>
    </xf>
    <xf numFmtId="0" fontId="33" fillId="0" borderId="22" xfId="11" applyFont="1" applyBorder="1" applyAlignment="1">
      <alignment wrapText="1"/>
    </xf>
    <xf numFmtId="0" fontId="33" fillId="0" borderId="29" xfId="11" applyFont="1" applyBorder="1" applyAlignment="1">
      <alignment wrapText="1"/>
    </xf>
    <xf numFmtId="0" fontId="6" fillId="0" borderId="64" xfId="13" applyFont="1" applyBorder="1" applyAlignment="1" applyProtection="1">
      <alignment horizontal="center" vertical="center" wrapText="1"/>
      <protection hidden="1"/>
    </xf>
    <xf numFmtId="0" fontId="6" fillId="0" borderId="63" xfId="13" applyFont="1" applyBorder="1" applyAlignment="1" applyProtection="1">
      <alignment horizontal="center" vertical="center" wrapText="1"/>
      <protection hidden="1"/>
    </xf>
    <xf numFmtId="0" fontId="6" fillId="0" borderId="62" xfId="13" applyFont="1" applyBorder="1" applyAlignment="1" applyProtection="1">
      <alignment horizontal="center" vertical="center" wrapText="1"/>
      <protection hidden="1"/>
    </xf>
    <xf numFmtId="14" fontId="31" fillId="0" borderId="0" xfId="13" applyNumberFormat="1" applyFont="1" applyAlignment="1" applyProtection="1">
      <alignment horizontal="center" vertical="center" textRotation="180" wrapText="1"/>
      <protection hidden="1"/>
    </xf>
    <xf numFmtId="0" fontId="34" fillId="0" borderId="0" xfId="10" applyFont="1" applyAlignment="1">
      <alignment horizontal="center" vertical="center" wrapText="1"/>
    </xf>
    <xf numFmtId="14" fontId="31" fillId="0" borderId="57" xfId="13" applyNumberFormat="1" applyFont="1" applyBorder="1" applyAlignment="1" applyProtection="1">
      <alignment horizontal="center" vertical="center" wrapText="1"/>
      <protection hidden="1"/>
    </xf>
    <xf numFmtId="14" fontId="31" fillId="0" borderId="53" xfId="13" applyNumberFormat="1" applyFont="1" applyBorder="1" applyAlignment="1" applyProtection="1">
      <alignment horizontal="center" vertical="center" wrapText="1"/>
      <protection hidden="1"/>
    </xf>
    <xf numFmtId="14" fontId="31" fillId="0" borderId="56" xfId="13" applyNumberFormat="1" applyFont="1" applyBorder="1" applyAlignment="1" applyProtection="1">
      <alignment horizontal="center" vertical="center" wrapText="1"/>
      <protection hidden="1"/>
    </xf>
    <xf numFmtId="14" fontId="31" fillId="0" borderId="52" xfId="13" applyNumberFormat="1" applyFont="1" applyBorder="1" applyAlignment="1" applyProtection="1">
      <alignment horizontal="center" vertical="center" wrapText="1"/>
      <protection hidden="1"/>
    </xf>
    <xf numFmtId="2" fontId="39" fillId="5" borderId="34" xfId="16" applyNumberFormat="1" applyFont="1" applyFill="1" applyBorder="1" applyAlignment="1" applyProtection="1">
      <alignment horizontal="left"/>
      <protection locked="0"/>
    </xf>
    <xf numFmtId="0" fontId="2" fillId="0" borderId="18" xfId="11" applyBorder="1" applyProtection="1">
      <protection locked="0"/>
    </xf>
    <xf numFmtId="0" fontId="2" fillId="0" borderId="33" xfId="11" applyBorder="1" applyProtection="1">
      <protection locked="0"/>
    </xf>
    <xf numFmtId="0" fontId="2" fillId="5" borderId="18" xfId="11" applyFill="1" applyBorder="1" applyProtection="1">
      <protection locked="0"/>
    </xf>
    <xf numFmtId="0" fontId="2" fillId="5" borderId="33" xfId="11" applyFill="1" applyBorder="1" applyProtection="1">
      <protection locked="0"/>
    </xf>
    <xf numFmtId="0" fontId="36" fillId="10" borderId="64" xfId="11" applyFont="1" applyFill="1" applyBorder="1" applyAlignment="1">
      <alignment horizontal="center" vertical="center" wrapText="1"/>
    </xf>
    <xf numFmtId="0" fontId="36" fillId="10" borderId="63" xfId="11" applyFont="1" applyFill="1" applyBorder="1" applyAlignment="1">
      <alignment horizontal="center" vertical="center" wrapText="1"/>
    </xf>
    <xf numFmtId="0" fontId="36" fillId="10" borderId="62" xfId="11" applyFont="1" applyFill="1" applyBorder="1" applyAlignment="1">
      <alignment horizontal="center" vertical="center" wrapText="1"/>
    </xf>
    <xf numFmtId="14" fontId="9" fillId="0" borderId="0" xfId="13" applyNumberFormat="1" applyFont="1" applyAlignment="1" applyProtection="1">
      <alignment horizontal="center" vertical="center" wrapText="1"/>
      <protection hidden="1"/>
    </xf>
  </cellXfs>
  <cellStyles count="18">
    <cellStyle name="Normal" xfId="0" builtinId="0"/>
    <cellStyle name="Normal 2" xfId="8" xr:uid="{00000000-0005-0000-0000-000001000000}"/>
    <cellStyle name="Normal 2 2 2" xfId="9" xr:uid="{00000000-0005-0000-0000-000002000000}"/>
    <cellStyle name="Normal 2 2 2 2" xfId="1" xr:uid="{00000000-0005-0000-0000-000003000000}"/>
    <cellStyle name="Normal 2 3" xfId="4" xr:uid="{00000000-0005-0000-0000-000004000000}"/>
    <cellStyle name="Normal 2_SIGEO Ver_2013A" xfId="13" xr:uid="{D5C8F3E5-6EF2-4BEB-880D-2B508073A9CB}"/>
    <cellStyle name="Normal 3" xfId="11" xr:uid="{1EA81FBE-9768-4617-B6D3-85AF96399C22}"/>
    <cellStyle name="Normal 4" xfId="12" xr:uid="{226208AD-AF43-45C3-B54E-7E76CDF44BA9}"/>
    <cellStyle name="Normal 4 2_SIGEO Ver_2013A" xfId="17" xr:uid="{37B56375-8712-44AA-8ABD-3F50016F365D}"/>
    <cellStyle name="Normal_Cálculo BDI conforme TCU" xfId="14" xr:uid="{A0EC8239-EDC3-4DA7-AEF5-8DD791BB2EC1}"/>
    <cellStyle name="Normal_Cálculo BDI conforme TCU_SIGEO Ver_2013A" xfId="10" xr:uid="{A7B062F3-E0AA-4FC1-B55C-4CFFB60BEA79}"/>
    <cellStyle name="Normal_Plan1" xfId="16" xr:uid="{1AEF3FA1-AA29-4FA3-BB01-1C1BBF18C474}"/>
    <cellStyle name="Porcentagem 2" xfId="7" xr:uid="{00000000-0005-0000-0000-000005000000}"/>
    <cellStyle name="Porcentagem 3" xfId="15" xr:uid="{DF78E6CE-7112-45C8-AEFE-859C8A8CF547}"/>
    <cellStyle name="Vírgula 2" xfId="5" xr:uid="{00000000-0005-0000-0000-000006000000}"/>
    <cellStyle name="Vírgula 2 2" xfId="6" xr:uid="{00000000-0005-0000-0000-000007000000}"/>
    <cellStyle name="Vírgula 4" xfId="3" xr:uid="{00000000-0005-0000-0000-000008000000}"/>
    <cellStyle name="Vírgula 5 2 3" xfId="2" xr:uid="{00000000-0005-0000-0000-000009000000}"/>
  </cellStyles>
  <dxfs count="8">
    <dxf>
      <font>
        <b/>
        <i val="0"/>
        <condense val="0"/>
        <extend val="0"/>
        <color indexed="9"/>
      </font>
      <fill>
        <patternFill patternType="solid">
          <bgColor indexed="10"/>
        </patternFill>
      </fill>
    </dxf>
    <dxf>
      <font>
        <b/>
        <i val="0"/>
        <condense val="0"/>
        <extend val="0"/>
        <color indexed="17"/>
      </font>
      <fill>
        <patternFill>
          <bgColor indexed="9"/>
        </patternFill>
      </fill>
    </dxf>
    <dxf>
      <font>
        <b/>
        <i val="0"/>
        <condense val="0"/>
        <extend val="0"/>
        <color indexed="17"/>
      </font>
      <fill>
        <patternFill patternType="none">
          <bgColor indexed="65"/>
        </patternFill>
      </fill>
    </dxf>
    <dxf>
      <font>
        <condense val="0"/>
        <extend val="0"/>
        <color indexed="17"/>
      </font>
    </dxf>
    <dxf>
      <font>
        <condense val="0"/>
        <extend val="0"/>
        <color indexed="10"/>
      </font>
    </dxf>
    <dxf>
      <fill>
        <patternFill>
          <bgColor indexed="43"/>
        </patternFill>
      </fill>
    </dxf>
    <dxf>
      <fill>
        <patternFill>
          <bgColor indexed="9"/>
        </patternFill>
      </fill>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Drop" dropLines="6" dropStyle="combo" dx="22" fmlaLink="$O$10:$O$15" fmlaRange="$N$10:$N$15" noThreeD="1" sel="1" val="0"/>
</file>

<file path=xl/ctrlProps/ctrlProp2.xml><?xml version="1.0" encoding="utf-8"?>
<formControlPr xmlns="http://schemas.microsoft.com/office/spreadsheetml/2009/9/main" objectType="CheckBox" fmlaLink="$N$8"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3</xdr:col>
      <xdr:colOff>60961</xdr:colOff>
      <xdr:row>20</xdr:row>
      <xdr:rowOff>0</xdr:rowOff>
    </xdr:from>
    <xdr:ext cx="67310" cy="85725"/>
    <xdr:grpSp>
      <xdr:nvGrpSpPr>
        <xdr:cNvPr id="6" name="Group 2">
          <a:extLst>
            <a:ext uri="{FF2B5EF4-FFF2-40B4-BE49-F238E27FC236}">
              <a16:creationId xmlns:a16="http://schemas.microsoft.com/office/drawing/2014/main" id="{00000000-0008-0000-0000-000006000000}"/>
            </a:ext>
          </a:extLst>
        </xdr:cNvPr>
        <xdr:cNvGrpSpPr/>
      </xdr:nvGrpSpPr>
      <xdr:grpSpPr>
        <a:xfrm>
          <a:off x="2121674" y="6539948"/>
          <a:ext cx="67310" cy="85725"/>
          <a:chOff x="0" y="0"/>
          <a:chExt cx="67310" cy="85725"/>
        </a:xfrm>
      </xdr:grpSpPr>
      <xdr:pic>
        <xdr:nvPicPr>
          <xdr:cNvPr id="7" name="image1.png">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0959" cy="67055"/>
          </a:xfrm>
          <a:prstGeom prst="rect">
            <a:avLst/>
          </a:prstGeom>
        </xdr:spPr>
      </xdr:pic>
      <xdr:pic>
        <xdr:nvPicPr>
          <xdr:cNvPr id="8" name="image2.png">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1" y="60960"/>
            <a:ext cx="24383" cy="18287"/>
          </a:xfrm>
          <a:prstGeom prst="rect">
            <a:avLst/>
          </a:prstGeom>
        </xdr:spPr>
      </xdr:pic>
      <xdr:sp macro="" textlink="">
        <xdr:nvSpPr>
          <xdr:cNvPr id="9" name="Shape 5">
            <a:extLst>
              <a:ext uri="{FF2B5EF4-FFF2-40B4-BE49-F238E27FC236}">
                <a16:creationId xmlns:a16="http://schemas.microsoft.com/office/drawing/2014/main" id="{00000000-0008-0000-0000-000009000000}"/>
              </a:ext>
            </a:extLst>
          </xdr:cNvPr>
          <xdr:cNvSpPr/>
        </xdr:nvSpPr>
        <xdr:spPr>
          <a:xfrm>
            <a:off x="42671" y="82296"/>
            <a:ext cx="6350" cy="0"/>
          </a:xfrm>
          <a:custGeom>
            <a:avLst/>
            <a:gdLst/>
            <a:ahLst/>
            <a:cxnLst/>
            <a:rect l="0" t="0" r="0" b="0"/>
            <a:pathLst>
              <a:path w="6350">
                <a:moveTo>
                  <a:pt x="0" y="0"/>
                </a:moveTo>
                <a:lnTo>
                  <a:pt x="6095" y="0"/>
                </a:lnTo>
              </a:path>
            </a:pathLst>
          </a:custGeom>
          <a:ln w="6095">
            <a:solidFill>
              <a:srgbClr val="82A673"/>
            </a:solidFill>
          </a:ln>
        </xdr:spPr>
      </xdr:sp>
    </xdr:grpSp>
    <xdr:clientData/>
  </xdr:oneCellAnchor>
  <xdr:twoCellAnchor>
    <xdr:from>
      <xdr:col>0</xdr:col>
      <xdr:colOff>0</xdr:colOff>
      <xdr:row>0</xdr:row>
      <xdr:rowOff>0</xdr:rowOff>
    </xdr:from>
    <xdr:to>
      <xdr:col>2</xdr:col>
      <xdr:colOff>372718</xdr:colOff>
      <xdr:row>0</xdr:row>
      <xdr:rowOff>1552575</xdr:rowOff>
    </xdr:to>
    <xdr:pic>
      <xdr:nvPicPr>
        <xdr:cNvPr id="11" name="Imagem 10" descr="GATO LOGO">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0"/>
          <a:ext cx="1482588" cy="155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58669</xdr:colOff>
      <xdr:row>8</xdr:row>
      <xdr:rowOff>131831</xdr:rowOff>
    </xdr:from>
    <xdr:to>
      <xdr:col>17</xdr:col>
      <xdr:colOff>193989</xdr:colOff>
      <xdr:row>8</xdr:row>
      <xdr:rowOff>614292</xdr:rowOff>
    </xdr:to>
    <xdr:pic>
      <xdr:nvPicPr>
        <xdr:cNvPr id="3" name="Imagem 2">
          <a:extLst>
            <a:ext uri="{FF2B5EF4-FFF2-40B4-BE49-F238E27FC236}">
              <a16:creationId xmlns:a16="http://schemas.microsoft.com/office/drawing/2014/main" id="{F02A7DFE-7C51-DE4E-39E8-19AB8F91C17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06669" y="9688581"/>
          <a:ext cx="5612195" cy="482461"/>
        </a:xfrm>
        <a:prstGeom prst="rect">
          <a:avLst/>
        </a:prstGeom>
        <a:noFill/>
      </xdr:spPr>
    </xdr:pic>
    <xdr:clientData/>
  </xdr:twoCellAnchor>
  <xdr:twoCellAnchor>
    <xdr:from>
      <xdr:col>0</xdr:col>
      <xdr:colOff>0</xdr:colOff>
      <xdr:row>0</xdr:row>
      <xdr:rowOff>0</xdr:rowOff>
    </xdr:from>
    <xdr:to>
      <xdr:col>3</xdr:col>
      <xdr:colOff>241788</xdr:colOff>
      <xdr:row>0</xdr:row>
      <xdr:rowOff>1560635</xdr:rowOff>
    </xdr:to>
    <xdr:pic>
      <xdr:nvPicPr>
        <xdr:cNvPr id="4" name="Imagem 3" descr="GATO LOGO">
          <a:extLst>
            <a:ext uri="{FF2B5EF4-FFF2-40B4-BE49-F238E27FC236}">
              <a16:creationId xmlns:a16="http://schemas.microsoft.com/office/drawing/2014/main" id="{F64346B9-FD32-4022-A892-C9ABDCF87F5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589942" cy="1560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629478" y="5436577"/>
    <xdr:ext cx="10411239" cy="478862"/>
    <xdr:sp macro="" textlink="">
      <xdr:nvSpPr>
        <xdr:cNvPr id="2" name="CaixaDeTexto 1">
          <a:extLst>
            <a:ext uri="{FF2B5EF4-FFF2-40B4-BE49-F238E27FC236}">
              <a16:creationId xmlns:a16="http://schemas.microsoft.com/office/drawing/2014/main" id="{38158D74-C6EB-4943-9277-F9FD0A578354}"/>
            </a:ext>
          </a:extLst>
        </xdr:cNvPr>
        <xdr:cNvSpPr txBox="1">
          <a:spLocks noChangeArrowheads="1"/>
        </xdr:cNvSpPr>
      </xdr:nvSpPr>
      <xdr:spPr bwMode="auto">
        <a:xfrm>
          <a:off x="629478" y="5436577"/>
          <a:ext cx="10411239" cy="478862"/>
        </a:xfrm>
        <a:prstGeom prst="rect">
          <a:avLst/>
        </a:prstGeom>
        <a:solidFill>
          <a:srgbClr val="E6E6E6"/>
        </a:solidFill>
        <a:ln w="9525">
          <a:solidFill>
            <a:srgbClr val="000000"/>
          </a:solidFill>
          <a:miter lim="800000"/>
          <a:headEnd/>
          <a:tailEnd/>
        </a:ln>
      </xdr:spPr>
    </xdr:sp>
    <xdr:clientData/>
  </xdr:absoluteAnchor>
  <xdr:twoCellAnchor>
    <xdr:from>
      <xdr:col>2</xdr:col>
      <xdr:colOff>114300</xdr:colOff>
      <xdr:row>26</xdr:row>
      <xdr:rowOff>133350</xdr:rowOff>
    </xdr:from>
    <xdr:to>
      <xdr:col>3</xdr:col>
      <xdr:colOff>2638425</xdr:colOff>
      <xdr:row>28</xdr:row>
      <xdr:rowOff>85725</xdr:rowOff>
    </xdr:to>
    <xdr:pic>
      <xdr:nvPicPr>
        <xdr:cNvPr id="3" name="Picture 38">
          <a:extLst>
            <a:ext uri="{FF2B5EF4-FFF2-40B4-BE49-F238E27FC236}">
              <a16:creationId xmlns:a16="http://schemas.microsoft.com/office/drawing/2014/main" id="{2F0AE644-64DF-4A30-B952-246A15AA9E04}"/>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33500" y="4838700"/>
          <a:ext cx="110490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xdr:col>
          <xdr:colOff>30480</xdr:colOff>
          <xdr:row>10</xdr:row>
          <xdr:rowOff>7620</xdr:rowOff>
        </xdr:from>
        <xdr:to>
          <xdr:col>5</xdr:col>
          <xdr:colOff>487680</xdr:colOff>
          <xdr:row>11</xdr:row>
          <xdr:rowOff>45720</xdr:rowOff>
        </xdr:to>
        <xdr:sp macro="" textlink="">
          <xdr:nvSpPr>
            <xdr:cNvPr id="3073" name="Drop Down 1" descr="teste"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21</xdr:row>
          <xdr:rowOff>144780</xdr:rowOff>
        </xdr:from>
        <xdr:to>
          <xdr:col>11</xdr:col>
          <xdr:colOff>822960</xdr:colOff>
          <xdr:row>23</xdr:row>
          <xdr:rowOff>45720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CCFFFF" mc:Ignorable="a14" a14:legacySpreadsheetColorIndex="41"/>
                  </a:solidFill>
                </a14:hiddenFill>
              </a:ext>
              <a:ext uri="{91240B29-F687-4F45-9708-019B960494DF}">
                <a14:hiddenLine w="9525">
                  <a:solidFill>
                    <a:srgbClr val="BCBCBC"/>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Mão-de-obra desonerada</a:t>
              </a:r>
            </a:p>
          </xdr:txBody>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2d59792823a768c8/00%20CLIENTES/PREFA%20MARACA/PATIO%20DE%20MAQUINAS-20240809T170033Z-001/PATIO%20DE%20MAQUINAS/BDI%20EDIFICACOES%20PATIO%20DE%20MAQUINAS.xls" TargetMode="External"/><Relationship Id="rId1" Type="http://schemas.openxmlformats.org/officeDocument/2006/relationships/externalLinkPath" Target="https://d.docs.live.net/2d59792823a768c8/00%20CLIENTES/PREFA%20MARACA/PATIO%20DE%20MAQUINAS-20240809T170033Z-001/PATIO%20DE%20MAQUINAS/BDI%20EDIFICACOES%20PATIO%20DE%20MAQUINA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erviços"/>
    </sheetNames>
    <sheetDataSet>
      <sheetData sheetId="0">
        <row r="17">
          <cell r="Q17">
            <v>0.03</v>
          </cell>
          <cell r="R17">
            <v>3.7999999999999999E-2</v>
          </cell>
          <cell r="S17">
            <v>3.4299999999999997E-2</v>
          </cell>
          <cell r="T17">
            <v>5.2900000000000003E-2</v>
          </cell>
          <cell r="U17">
            <v>0.04</v>
          </cell>
          <cell r="V17">
            <v>1.4999999999999999E-2</v>
          </cell>
        </row>
        <row r="18">
          <cell r="Q18">
            <v>8.0000000000000002E-3</v>
          </cell>
          <cell r="R18">
            <v>3.2000000000000002E-3</v>
          </cell>
          <cell r="S18">
            <v>2.8E-3</v>
          </cell>
          <cell r="T18">
            <v>2.5000000000000001E-3</v>
          </cell>
          <cell r="U18">
            <v>8.0999999999999996E-3</v>
          </cell>
          <cell r="V18">
            <v>3.0000000000000001E-3</v>
          </cell>
        </row>
        <row r="19">
          <cell r="Q19">
            <v>9.7000000000000003E-3</v>
          </cell>
          <cell r="R19">
            <v>5.0000000000000001E-3</v>
          </cell>
          <cell r="S19">
            <v>0.01</v>
          </cell>
          <cell r="T19">
            <v>0.01</v>
          </cell>
          <cell r="U19">
            <v>1.46E-2</v>
          </cell>
          <cell r="V19">
            <v>5.5999999999999999E-3</v>
          </cell>
        </row>
        <row r="20">
          <cell r="Q20">
            <v>5.8999999999999999E-3</v>
          </cell>
          <cell r="R20">
            <v>1.0200000000000001E-2</v>
          </cell>
          <cell r="S20">
            <v>9.4000000000000004E-3</v>
          </cell>
          <cell r="T20">
            <v>1.01E-2</v>
          </cell>
          <cell r="U20">
            <v>9.4000000000000004E-3</v>
          </cell>
          <cell r="V20">
            <v>8.5000000000000006E-3</v>
          </cell>
        </row>
        <row r="21">
          <cell r="Q21">
            <v>6.1600000000000002E-2</v>
          </cell>
          <cell r="R21">
            <v>6.6400000000000001E-2</v>
          </cell>
          <cell r="S21">
            <v>6.7400000000000002E-2</v>
          </cell>
          <cell r="T21">
            <v>0.08</v>
          </cell>
          <cell r="U21">
            <v>7.1400000000000005E-2</v>
          </cell>
          <cell r="V21">
            <v>3.5000000000000003E-2</v>
          </cell>
        </row>
        <row r="23">
          <cell r="Q23">
            <v>5.5E-2</v>
          </cell>
          <cell r="R23">
            <v>4.6699999999999998E-2</v>
          </cell>
          <cell r="S23">
            <v>6.7100000000000007E-2</v>
          </cell>
          <cell r="T23">
            <v>7.9299999999999995E-2</v>
          </cell>
          <cell r="U23">
            <v>7.85E-2</v>
          </cell>
          <cell r="V23">
            <v>4.4900000000000002E-2</v>
          </cell>
        </row>
        <row r="24">
          <cell r="Q24">
            <v>0.01</v>
          </cell>
          <cell r="R24">
            <v>7.4000000000000003E-3</v>
          </cell>
          <cell r="S24">
            <v>7.4999999999999997E-3</v>
          </cell>
          <cell r="T24">
            <v>5.5999999999999999E-3</v>
          </cell>
          <cell r="U24">
            <v>1.9900000000000001E-2</v>
          </cell>
          <cell r="V24">
            <v>8.2000000000000007E-3</v>
          </cell>
        </row>
        <row r="25">
          <cell r="Q25">
            <v>1.2699999999999999E-2</v>
          </cell>
          <cell r="R25">
            <v>9.7000000000000003E-3</v>
          </cell>
          <cell r="S25">
            <v>1.7399999999999999E-2</v>
          </cell>
          <cell r="T25">
            <v>1.9699999999999999E-2</v>
          </cell>
          <cell r="U25">
            <v>3.1600000000000003E-2</v>
          </cell>
          <cell r="V25">
            <v>8.8999999999999999E-3</v>
          </cell>
        </row>
        <row r="26">
          <cell r="Q26">
            <v>1.3899999999999999E-2</v>
          </cell>
          <cell r="R26">
            <v>1.21E-2</v>
          </cell>
          <cell r="S26">
            <v>1.17E-2</v>
          </cell>
          <cell r="T26">
            <v>1.11E-2</v>
          </cell>
          <cell r="U26">
            <v>1.3299999999999999E-2</v>
          </cell>
          <cell r="V26">
            <v>1.11E-2</v>
          </cell>
        </row>
        <row r="27">
          <cell r="Q27">
            <v>8.9599999999999999E-2</v>
          </cell>
          <cell r="R27">
            <v>8.6900000000000005E-2</v>
          </cell>
          <cell r="S27">
            <v>9.4E-2</v>
          </cell>
          <cell r="T27">
            <v>9.5100000000000004E-2</v>
          </cell>
          <cell r="U27">
            <v>0.1043</v>
          </cell>
          <cell r="V27">
            <v>6.2199999999999998E-2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
  <sheetViews>
    <sheetView zoomScale="115" zoomScaleNormal="115" workbookViewId="0">
      <selection activeCell="E5" sqref="E5:J5"/>
    </sheetView>
  </sheetViews>
  <sheetFormatPr defaultRowHeight="14.4" x14ac:dyDescent="0.3"/>
  <cols>
    <col min="1" max="1" width="5.88671875" bestFit="1" customWidth="1"/>
    <col min="2" max="2" width="9.5546875" bestFit="1" customWidth="1"/>
    <col min="3" max="3" width="14.5546875" bestFit="1" customWidth="1"/>
    <col min="4" max="4" width="60.5546875" bestFit="1" customWidth="1"/>
    <col min="5" max="5" width="6.5546875" bestFit="1" customWidth="1"/>
    <col min="6" max="6" width="8.6640625" bestFit="1" customWidth="1"/>
    <col min="7" max="7" width="13.88671875" style="15" bestFit="1" customWidth="1"/>
    <col min="8" max="8" width="17.33203125" style="15" bestFit="1" customWidth="1"/>
    <col min="9" max="9" width="8.33203125" style="15" bestFit="1" customWidth="1"/>
    <col min="10" max="10" width="31.33203125" bestFit="1" customWidth="1"/>
    <col min="12" max="12" width="11.5546875" bestFit="1" customWidth="1"/>
    <col min="13" max="13" width="23.6640625" customWidth="1"/>
  </cols>
  <sheetData>
    <row r="1" spans="1:13" ht="126" customHeight="1" x14ac:dyDescent="0.3">
      <c r="A1" s="128" t="s">
        <v>24</v>
      </c>
      <c r="B1" s="128"/>
      <c r="C1" s="128"/>
      <c r="D1" s="128"/>
      <c r="E1" s="128"/>
      <c r="F1" s="128"/>
      <c r="G1" s="128"/>
      <c r="H1" s="128"/>
      <c r="I1" s="128"/>
      <c r="J1" s="128"/>
    </row>
    <row r="2" spans="1:13" s="11" customFormat="1" ht="17.399999999999999" x14ac:dyDescent="0.3">
      <c r="A2" s="130" t="s">
        <v>15</v>
      </c>
      <c r="B2" s="130"/>
      <c r="C2" s="131" t="s">
        <v>31</v>
      </c>
      <c r="D2" s="131"/>
      <c r="E2" s="131"/>
      <c r="F2" s="131"/>
      <c r="G2" s="131"/>
      <c r="H2" s="131"/>
      <c r="I2" s="131"/>
      <c r="J2" s="131"/>
    </row>
    <row r="3" spans="1:13" s="11" customFormat="1" ht="30" customHeight="1" x14ac:dyDescent="0.3">
      <c r="A3" s="130" t="s">
        <v>17</v>
      </c>
      <c r="B3" s="130"/>
      <c r="C3" s="132" t="s">
        <v>32</v>
      </c>
      <c r="D3" s="132"/>
      <c r="E3" s="132"/>
      <c r="F3" s="132"/>
      <c r="G3" s="132"/>
      <c r="H3" s="132"/>
      <c r="I3" s="132"/>
      <c r="J3" s="132"/>
    </row>
    <row r="4" spans="1:13" s="11" customFormat="1" ht="99" customHeight="1" x14ac:dyDescent="0.3">
      <c r="A4" s="130" t="s">
        <v>16</v>
      </c>
      <c r="B4" s="130"/>
      <c r="C4" s="133" t="s">
        <v>148</v>
      </c>
      <c r="D4" s="133"/>
      <c r="E4" s="133"/>
      <c r="F4" s="133"/>
      <c r="G4" s="133"/>
      <c r="H4" s="133"/>
      <c r="I4" s="133"/>
      <c r="J4" s="133"/>
    </row>
    <row r="5" spans="1:13" s="11" customFormat="1" ht="30" customHeight="1" x14ac:dyDescent="0.3">
      <c r="A5" s="130"/>
      <c r="B5" s="130"/>
      <c r="C5" s="134"/>
      <c r="D5" s="134"/>
      <c r="E5" s="127">
        <v>45610</v>
      </c>
      <c r="F5" s="127"/>
      <c r="G5" s="127"/>
      <c r="H5" s="127"/>
      <c r="I5" s="127"/>
      <c r="J5" s="127"/>
    </row>
    <row r="6" spans="1:13" ht="30" customHeight="1" x14ac:dyDescent="0.3">
      <c r="A6" s="125"/>
      <c r="B6" s="125"/>
      <c r="C6" s="125"/>
      <c r="D6" s="125"/>
      <c r="E6" s="125"/>
      <c r="F6" s="125"/>
      <c r="G6" s="126" t="s">
        <v>20</v>
      </c>
      <c r="H6" s="126"/>
      <c r="I6" s="126"/>
      <c r="J6" s="126"/>
      <c r="K6" s="3"/>
      <c r="L6" s="3"/>
      <c r="M6" s="3"/>
    </row>
    <row r="7" spans="1:13" ht="30" customHeight="1" x14ac:dyDescent="0.3">
      <c r="A7" s="4" t="s">
        <v>7</v>
      </c>
      <c r="B7" s="4" t="s">
        <v>8</v>
      </c>
      <c r="C7" s="4" t="s">
        <v>147</v>
      </c>
      <c r="D7" s="4" t="s">
        <v>6</v>
      </c>
      <c r="E7" s="4" t="s">
        <v>5</v>
      </c>
      <c r="F7" s="4" t="s">
        <v>4</v>
      </c>
      <c r="G7" s="13" t="s">
        <v>146</v>
      </c>
      <c r="H7" s="13" t="s">
        <v>145</v>
      </c>
      <c r="I7" s="13" t="s">
        <v>19</v>
      </c>
      <c r="J7" s="4" t="s">
        <v>21</v>
      </c>
    </row>
    <row r="8" spans="1:13" ht="30" customHeight="1" x14ac:dyDescent="0.3">
      <c r="A8" s="5">
        <v>1</v>
      </c>
      <c r="B8" s="5"/>
      <c r="C8" s="5"/>
      <c r="D8" s="5" t="s">
        <v>49</v>
      </c>
      <c r="E8" s="5"/>
      <c r="F8" s="8"/>
      <c r="G8" s="14"/>
      <c r="H8" s="18"/>
      <c r="I8" s="18">
        <v>0.21</v>
      </c>
      <c r="J8" s="9"/>
    </row>
    <row r="9" spans="1:13" ht="30" customHeight="1" x14ac:dyDescent="0.3">
      <c r="A9" s="4" t="s">
        <v>0</v>
      </c>
      <c r="B9" s="6">
        <v>97064</v>
      </c>
      <c r="C9" s="6" t="s">
        <v>25</v>
      </c>
      <c r="D9" s="17" t="s">
        <v>30</v>
      </c>
      <c r="E9" s="4" t="s">
        <v>22</v>
      </c>
      <c r="F9" s="4">
        <v>36</v>
      </c>
      <c r="G9" s="16">
        <v>27.31</v>
      </c>
      <c r="H9" s="16">
        <f>F9*G9</f>
        <v>983.16</v>
      </c>
      <c r="I9" s="19">
        <f>I8*100</f>
        <v>21</v>
      </c>
      <c r="J9" s="10">
        <f t="shared" ref="J9:J19" si="0">(H9*I9/100)+H9</f>
        <v>1189.6235999999999</v>
      </c>
    </row>
    <row r="10" spans="1:13" ht="30" customHeight="1" x14ac:dyDescent="0.3">
      <c r="A10" s="4" t="s">
        <v>1</v>
      </c>
      <c r="B10" s="6">
        <v>99814</v>
      </c>
      <c r="C10" s="6" t="s">
        <v>25</v>
      </c>
      <c r="D10" s="17" t="s">
        <v>29</v>
      </c>
      <c r="E10" s="4" t="s">
        <v>23</v>
      </c>
      <c r="F10" s="4">
        <v>1200</v>
      </c>
      <c r="G10" s="16">
        <v>2.08</v>
      </c>
      <c r="H10" s="16">
        <f>F10*G10</f>
        <v>2496</v>
      </c>
      <c r="I10" s="19">
        <f t="shared" ref="I10:I11" si="1">I9</f>
        <v>21</v>
      </c>
      <c r="J10" s="10">
        <f t="shared" si="0"/>
        <v>3020.16</v>
      </c>
    </row>
    <row r="11" spans="1:13" ht="30" customHeight="1" x14ac:dyDescent="0.3">
      <c r="A11" s="4" t="s">
        <v>2</v>
      </c>
      <c r="B11" s="6">
        <v>98554</v>
      </c>
      <c r="C11" s="6" t="s">
        <v>25</v>
      </c>
      <c r="D11" s="17" t="s">
        <v>28</v>
      </c>
      <c r="E11" s="4" t="s">
        <v>23</v>
      </c>
      <c r="F11" s="4">
        <v>1200</v>
      </c>
      <c r="G11" s="16">
        <v>51.58</v>
      </c>
      <c r="H11" s="16">
        <f>F11*G11</f>
        <v>61896</v>
      </c>
      <c r="I11" s="19">
        <f t="shared" si="1"/>
        <v>21</v>
      </c>
      <c r="J11" s="10">
        <f t="shared" si="0"/>
        <v>74894.16</v>
      </c>
    </row>
    <row r="12" spans="1:13" ht="30" hidden="1" customHeight="1" x14ac:dyDescent="0.3">
      <c r="A12" s="4" t="s">
        <v>3</v>
      </c>
      <c r="B12" s="6" t="s">
        <v>18</v>
      </c>
      <c r="C12" s="6"/>
      <c r="D12" s="17"/>
      <c r="E12" s="4"/>
      <c r="F12" s="4"/>
      <c r="G12" s="16"/>
      <c r="H12" s="19"/>
      <c r="I12" s="19"/>
      <c r="J12" s="10">
        <f t="shared" si="0"/>
        <v>0</v>
      </c>
    </row>
    <row r="13" spans="1:13" ht="30" hidden="1" customHeight="1" x14ac:dyDescent="0.3">
      <c r="A13" s="4" t="s">
        <v>10</v>
      </c>
      <c r="B13" s="6" t="s">
        <v>18</v>
      </c>
      <c r="C13" s="6"/>
      <c r="D13" s="17"/>
      <c r="E13" s="7"/>
      <c r="F13" s="4"/>
      <c r="G13" s="16"/>
      <c r="H13" s="19"/>
      <c r="I13" s="19"/>
      <c r="J13" s="10">
        <f t="shared" si="0"/>
        <v>0</v>
      </c>
    </row>
    <row r="14" spans="1:13" ht="30" hidden="1" customHeight="1" x14ac:dyDescent="0.3">
      <c r="A14" s="4" t="s">
        <v>9</v>
      </c>
      <c r="B14" s="6" t="s">
        <v>18</v>
      </c>
      <c r="C14" s="6"/>
      <c r="D14" s="17"/>
      <c r="E14" s="4"/>
      <c r="F14" s="4"/>
      <c r="G14" s="16"/>
      <c r="H14" s="19"/>
      <c r="I14" s="19"/>
      <c r="J14" s="10">
        <f t="shared" si="0"/>
        <v>0</v>
      </c>
    </row>
    <row r="15" spans="1:13" ht="30" hidden="1" customHeight="1" x14ac:dyDescent="0.3">
      <c r="A15" s="4" t="s">
        <v>11</v>
      </c>
      <c r="B15" s="6" t="s">
        <v>18</v>
      </c>
      <c r="C15" s="6"/>
      <c r="D15" s="17"/>
      <c r="E15" s="4"/>
      <c r="F15" s="4"/>
      <c r="G15" s="16"/>
      <c r="H15" s="19"/>
      <c r="I15" s="19"/>
      <c r="J15" s="10">
        <f t="shared" si="0"/>
        <v>0</v>
      </c>
    </row>
    <row r="16" spans="1:13" ht="30" hidden="1" customHeight="1" x14ac:dyDescent="0.3">
      <c r="A16" s="4" t="s">
        <v>12</v>
      </c>
      <c r="B16" s="6" t="s">
        <v>18</v>
      </c>
      <c r="C16" s="6"/>
      <c r="D16" s="17"/>
      <c r="E16" s="7"/>
      <c r="F16" s="4"/>
      <c r="G16" s="16"/>
      <c r="H16" s="19"/>
      <c r="I16" s="19"/>
      <c r="J16" s="10">
        <f t="shared" si="0"/>
        <v>0</v>
      </c>
    </row>
    <row r="17" spans="1:10" ht="30" hidden="1" customHeight="1" x14ac:dyDescent="0.3">
      <c r="A17" s="4" t="s">
        <v>13</v>
      </c>
      <c r="B17" s="6" t="s">
        <v>18</v>
      </c>
      <c r="C17" s="6"/>
      <c r="D17" s="17"/>
      <c r="E17" s="7"/>
      <c r="F17" s="4"/>
      <c r="G17" s="16"/>
      <c r="H17" s="19"/>
      <c r="I17" s="19"/>
      <c r="J17" s="10">
        <f t="shared" si="0"/>
        <v>0</v>
      </c>
    </row>
    <row r="18" spans="1:10" ht="30" hidden="1" customHeight="1" x14ac:dyDescent="0.3">
      <c r="A18" s="4" t="s">
        <v>26</v>
      </c>
      <c r="B18" s="6"/>
      <c r="C18" s="6"/>
      <c r="D18" s="17"/>
      <c r="E18" s="7"/>
      <c r="F18" s="4"/>
      <c r="G18" s="16"/>
      <c r="H18" s="19"/>
      <c r="I18" s="19"/>
      <c r="J18" s="10">
        <f t="shared" si="0"/>
        <v>0</v>
      </c>
    </row>
    <row r="19" spans="1:10" ht="30" hidden="1" customHeight="1" x14ac:dyDescent="0.3">
      <c r="A19" s="4" t="s">
        <v>27</v>
      </c>
      <c r="B19" s="6" t="s">
        <v>18</v>
      </c>
      <c r="C19" s="6"/>
      <c r="D19" s="17"/>
      <c r="E19" s="7"/>
      <c r="F19" s="4"/>
      <c r="G19" s="16"/>
      <c r="H19" s="19"/>
      <c r="I19" s="19"/>
      <c r="J19" s="10">
        <f t="shared" si="0"/>
        <v>0</v>
      </c>
    </row>
    <row r="20" spans="1:10" ht="30" customHeight="1" x14ac:dyDescent="0.3">
      <c r="A20" s="4"/>
      <c r="B20" s="4"/>
      <c r="C20" s="4"/>
      <c r="D20" s="4"/>
      <c r="E20" s="129" t="s">
        <v>14</v>
      </c>
      <c r="F20" s="129"/>
      <c r="G20" s="129"/>
      <c r="H20" s="12">
        <f>SUM(H9:H19)</f>
        <v>65375.16</v>
      </c>
      <c r="I20" s="20"/>
      <c r="J20" s="124">
        <f>SUM(J9:J19)</f>
        <v>79103.943599999999</v>
      </c>
    </row>
    <row r="21" spans="1:10" x14ac:dyDescent="0.3">
      <c r="D21" s="1"/>
      <c r="J21" s="2"/>
    </row>
  </sheetData>
  <mergeCells count="13">
    <mergeCell ref="A6:F6"/>
    <mergeCell ref="G6:J6"/>
    <mergeCell ref="E5:J5"/>
    <mergeCell ref="A1:J1"/>
    <mergeCell ref="E20:G20"/>
    <mergeCell ref="A2:B2"/>
    <mergeCell ref="A3:B3"/>
    <mergeCell ref="A4:B4"/>
    <mergeCell ref="A5:B5"/>
    <mergeCell ref="C2:J2"/>
    <mergeCell ref="C3:J3"/>
    <mergeCell ref="C4:J4"/>
    <mergeCell ref="C5:D5"/>
  </mergeCells>
  <phoneticPr fontId="13" type="noConversion"/>
  <conditionalFormatting sqref="F8:I10 I8:I11">
    <cfRule type="cellIs" dxfId="7" priority="3" stopIfTrue="1" operator="equal">
      <formula>0</formula>
    </cfRule>
  </conditionalFormatting>
  <printOptions horizontalCentered="1" verticalCentered="1"/>
  <pageMargins left="0.51181102362204722" right="0.51181102362204722" top="0.78740157480314965" bottom="0.78740157480314965" header="0.31496062992125984" footer="0.31496062992125984"/>
  <pageSetup paperSize="9" scale="75"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0B79A-D416-4AE7-86F4-11CBEB32D3A9}">
  <dimension ref="A1:Y28"/>
  <sheetViews>
    <sheetView view="pageBreakPreview" zoomScale="130" zoomScaleNormal="115" zoomScaleSheetLayoutView="130" workbookViewId="0">
      <selection activeCell="P8" sqref="P8"/>
    </sheetView>
  </sheetViews>
  <sheetFormatPr defaultRowHeight="56.25" customHeight="1" x14ac:dyDescent="0.3"/>
  <cols>
    <col min="1" max="1" width="4.33203125" bestFit="1" customWidth="1"/>
    <col min="2" max="2" width="8.33203125" bestFit="1" customWidth="1"/>
    <col min="3" max="3" width="7.6640625" bestFit="1" customWidth="1"/>
    <col min="4" max="4" width="8.33203125" bestFit="1" customWidth="1"/>
    <col min="5" max="5" width="8.88671875" bestFit="1" customWidth="1"/>
    <col min="6" max="6" width="8.33203125" bestFit="1" customWidth="1"/>
    <col min="7" max="7" width="7.33203125" bestFit="1" customWidth="1"/>
    <col min="8" max="8" width="8.33203125" bestFit="1" customWidth="1"/>
    <col min="9" max="9" width="7.33203125" bestFit="1" customWidth="1"/>
    <col min="10" max="10" width="8.33203125" bestFit="1" customWidth="1"/>
    <col min="11" max="11" width="7.33203125" bestFit="1" customWidth="1"/>
    <col min="12" max="12" width="8.33203125" bestFit="1" customWidth="1"/>
    <col min="13" max="13" width="7.33203125" bestFit="1" customWidth="1"/>
    <col min="14" max="14" width="8.33203125" bestFit="1" customWidth="1"/>
    <col min="15" max="15" width="7.33203125" bestFit="1" customWidth="1"/>
    <col min="16" max="16" width="6.44140625" bestFit="1" customWidth="1"/>
    <col min="17" max="17" width="5.44140625" bestFit="1" customWidth="1"/>
    <col min="18" max="18" width="6.44140625" bestFit="1" customWidth="1"/>
    <col min="19" max="19" width="5.44140625" bestFit="1" customWidth="1"/>
    <col min="20" max="20" width="6.44140625" bestFit="1" customWidth="1"/>
    <col min="21" max="21" width="5.44140625" bestFit="1" customWidth="1"/>
    <col min="22" max="22" width="6.44140625" bestFit="1" customWidth="1"/>
    <col min="23" max="23" width="5.44140625" bestFit="1" customWidth="1"/>
    <col min="24" max="24" width="6.44140625" bestFit="1" customWidth="1"/>
    <col min="25" max="25" width="5.44140625" bestFit="1" customWidth="1"/>
  </cols>
  <sheetData>
    <row r="1" spans="1:25" ht="124.5" customHeight="1" x14ac:dyDescent="0.3">
      <c r="A1" s="135" t="s">
        <v>48</v>
      </c>
      <c r="B1" s="135"/>
      <c r="C1" s="135"/>
      <c r="D1" s="135"/>
      <c r="E1" s="135"/>
      <c r="F1" s="135"/>
      <c r="G1" s="135"/>
      <c r="H1" s="135"/>
      <c r="I1" s="135"/>
      <c r="J1" s="135"/>
      <c r="K1" s="135"/>
      <c r="L1" s="135"/>
      <c r="M1" s="135"/>
      <c r="N1" s="135"/>
      <c r="O1" s="135"/>
      <c r="P1" s="135"/>
      <c r="Q1" s="135"/>
      <c r="R1" s="135"/>
      <c r="S1" s="135"/>
      <c r="T1" s="135"/>
      <c r="U1" s="135"/>
      <c r="V1" s="135"/>
      <c r="W1" s="135"/>
      <c r="X1" s="135"/>
      <c r="Y1" s="135"/>
    </row>
    <row r="2" spans="1:25" ht="84.75" customHeight="1" x14ac:dyDescent="0.3">
      <c r="A2" s="139" t="str">
        <f>ORÇAMENTO!C4</f>
        <v>O presente procedimento licitatório tem por objetivo selecionar a proposta mais vantajosa para contratação de empresa especializada no ramo da engenharia, para execução de impermeabilização com borracha liquida em 1.200,00m² de cobertura, do Ginásio de Esportes do Centro Esportivo Municipal Antonio da Rocha, Bairro centro, Município de Maracajá/SC, conforme as especificações mínimas constantes no edital, cronograma, termo referência, planilha orçamentária e demais anexos.</v>
      </c>
      <c r="B2" s="140"/>
      <c r="C2" s="140"/>
      <c r="D2" s="140"/>
      <c r="E2" s="140"/>
      <c r="F2" s="140"/>
      <c r="G2" s="140"/>
      <c r="H2" s="140"/>
      <c r="I2" s="140"/>
      <c r="J2" s="140"/>
      <c r="K2" s="140"/>
      <c r="L2" s="140"/>
      <c r="M2" s="140"/>
      <c r="N2" s="140"/>
      <c r="O2" s="140"/>
      <c r="P2" s="140"/>
      <c r="Q2" s="140"/>
      <c r="R2" s="140"/>
      <c r="S2" s="140"/>
      <c r="T2" s="140"/>
      <c r="U2" s="140"/>
      <c r="V2" s="140"/>
      <c r="W2" s="140"/>
      <c r="X2" s="140"/>
      <c r="Y2" s="141"/>
    </row>
    <row r="3" spans="1:25" ht="56.25" customHeight="1" x14ac:dyDescent="0.3">
      <c r="A3" s="142" t="s">
        <v>33</v>
      </c>
      <c r="B3" s="144" t="s">
        <v>34</v>
      </c>
      <c r="C3" s="145"/>
      <c r="D3" s="144" t="s">
        <v>35</v>
      </c>
      <c r="E3" s="145"/>
      <c r="F3" s="144" t="s">
        <v>36</v>
      </c>
      <c r="G3" s="145"/>
      <c r="H3" s="144" t="s">
        <v>37</v>
      </c>
      <c r="I3" s="145"/>
      <c r="J3" s="144" t="s">
        <v>38</v>
      </c>
      <c r="K3" s="145"/>
      <c r="L3" s="144" t="s">
        <v>39</v>
      </c>
      <c r="M3" s="145"/>
      <c r="N3" s="144" t="s">
        <v>40</v>
      </c>
      <c r="O3" s="145"/>
      <c r="P3" s="137" t="s">
        <v>41</v>
      </c>
      <c r="Q3" s="138"/>
      <c r="R3" s="137" t="s">
        <v>42</v>
      </c>
      <c r="S3" s="138"/>
      <c r="T3" s="137" t="s">
        <v>43</v>
      </c>
      <c r="U3" s="138"/>
      <c r="V3" s="137" t="s">
        <v>44</v>
      </c>
      <c r="W3" s="138"/>
      <c r="X3" s="137" t="s">
        <v>45</v>
      </c>
      <c r="Y3" s="138"/>
    </row>
    <row r="4" spans="1:25" ht="56.25" customHeight="1" x14ac:dyDescent="0.3">
      <c r="A4" s="143"/>
      <c r="B4" s="21" t="s">
        <v>46</v>
      </c>
      <c r="C4" s="21" t="s">
        <v>47</v>
      </c>
      <c r="D4" s="21" t="s">
        <v>46</v>
      </c>
      <c r="E4" s="21" t="s">
        <v>47</v>
      </c>
      <c r="F4" s="21" t="s">
        <v>46</v>
      </c>
      <c r="G4" s="21" t="s">
        <v>47</v>
      </c>
      <c r="H4" s="21" t="s">
        <v>46</v>
      </c>
      <c r="I4" s="21" t="s">
        <v>47</v>
      </c>
      <c r="J4" s="21" t="s">
        <v>46</v>
      </c>
      <c r="K4" s="21" t="s">
        <v>47</v>
      </c>
      <c r="L4" s="21" t="s">
        <v>46</v>
      </c>
      <c r="M4" s="21" t="s">
        <v>47</v>
      </c>
      <c r="N4" s="21" t="s">
        <v>46</v>
      </c>
      <c r="O4" s="21" t="s">
        <v>47</v>
      </c>
      <c r="P4" s="22" t="s">
        <v>46</v>
      </c>
      <c r="Q4" s="22" t="s">
        <v>47</v>
      </c>
      <c r="R4" s="22" t="s">
        <v>46</v>
      </c>
      <c r="S4" s="22" t="s">
        <v>47</v>
      </c>
      <c r="T4" s="22" t="s">
        <v>46</v>
      </c>
      <c r="U4" s="22" t="s">
        <v>47</v>
      </c>
      <c r="V4" s="22" t="s">
        <v>46</v>
      </c>
      <c r="W4" s="22" t="s">
        <v>47</v>
      </c>
      <c r="X4" s="22" t="s">
        <v>46</v>
      </c>
      <c r="Y4" s="22" t="s">
        <v>47</v>
      </c>
    </row>
    <row r="5" spans="1:25" ht="56.25" customHeight="1" x14ac:dyDescent="0.3">
      <c r="A5" s="23">
        <v>1</v>
      </c>
      <c r="B5" s="24">
        <v>0.7</v>
      </c>
      <c r="C5" s="25">
        <v>0.7</v>
      </c>
      <c r="D5" s="24">
        <v>0.3</v>
      </c>
      <c r="E5" s="25">
        <v>1</v>
      </c>
      <c r="F5" s="24"/>
      <c r="G5" s="25"/>
      <c r="H5" s="24"/>
      <c r="I5" s="25"/>
      <c r="J5" s="24"/>
      <c r="K5" s="26"/>
      <c r="L5" s="24"/>
      <c r="M5" s="26"/>
      <c r="N5" s="24"/>
      <c r="O5" s="26"/>
      <c r="P5" s="27"/>
      <c r="Q5" s="28"/>
      <c r="R5" s="27"/>
      <c r="S5" s="28"/>
      <c r="T5" s="27"/>
      <c r="U5" s="28"/>
      <c r="V5" s="27"/>
      <c r="W5" s="28"/>
      <c r="X5" s="27"/>
      <c r="Y5" s="28"/>
    </row>
    <row r="6" spans="1:25" ht="56.25" customHeight="1" x14ac:dyDescent="0.3">
      <c r="A6" s="29"/>
      <c r="B6" s="30"/>
      <c r="C6" s="31"/>
      <c r="D6" s="32"/>
      <c r="E6" s="31"/>
      <c r="F6" s="32"/>
      <c r="G6" s="31"/>
      <c r="H6" s="32"/>
      <c r="I6" s="31"/>
      <c r="J6" s="33"/>
      <c r="K6" s="31"/>
      <c r="L6" s="34"/>
      <c r="M6" s="31"/>
      <c r="N6" s="34"/>
      <c r="O6" s="31"/>
      <c r="P6" s="35"/>
      <c r="Q6" s="36"/>
      <c r="R6" s="35"/>
      <c r="S6" s="36"/>
      <c r="T6" s="35"/>
      <c r="U6" s="36"/>
      <c r="V6" s="35"/>
      <c r="W6" s="36"/>
      <c r="X6" s="35"/>
      <c r="Y6" s="36"/>
    </row>
    <row r="7" spans="1:25" ht="56.25" customHeight="1" x14ac:dyDescent="0.3">
      <c r="A7" s="149" t="s">
        <v>149</v>
      </c>
      <c r="B7" s="150"/>
      <c r="C7" s="150"/>
      <c r="D7" s="150"/>
      <c r="E7" s="150"/>
      <c r="F7" s="150"/>
      <c r="G7" s="150"/>
      <c r="H7" s="150"/>
      <c r="I7" s="150"/>
      <c r="J7" s="151"/>
      <c r="K7" s="146" t="s">
        <v>150</v>
      </c>
      <c r="L7" s="147"/>
      <c r="M7" s="147"/>
      <c r="N7" s="147"/>
      <c r="O7" s="147"/>
      <c r="P7" s="147"/>
      <c r="Q7" s="147"/>
      <c r="R7" s="147"/>
      <c r="S7" s="147"/>
      <c r="T7" s="147"/>
      <c r="U7" s="147"/>
      <c r="V7" s="147"/>
      <c r="W7" s="147"/>
      <c r="X7" s="147"/>
      <c r="Y7" s="148"/>
    </row>
    <row r="18" spans="1:25" ht="56.25" customHeight="1" x14ac:dyDescent="0.3">
      <c r="A18" s="136"/>
      <c r="B18" s="136"/>
      <c r="C18" s="136"/>
      <c r="D18" s="136"/>
      <c r="E18" s="136"/>
      <c r="F18" s="136"/>
      <c r="G18" s="136"/>
      <c r="H18" s="136"/>
      <c r="I18" s="136"/>
      <c r="J18" s="136"/>
      <c r="K18" s="136"/>
      <c r="L18" s="136"/>
      <c r="M18" s="136"/>
      <c r="N18" s="136"/>
      <c r="O18" s="136"/>
      <c r="P18" s="136"/>
      <c r="Q18" s="136"/>
      <c r="R18" s="136"/>
      <c r="S18" s="136"/>
      <c r="T18" s="136"/>
      <c r="U18" s="136"/>
      <c r="V18" s="136"/>
      <c r="W18" s="136"/>
      <c r="X18" s="136"/>
      <c r="Y18" s="136"/>
    </row>
    <row r="28" spans="1:25" ht="56.25" customHeight="1" x14ac:dyDescent="0.3">
      <c r="A28" s="136"/>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row>
  </sheetData>
  <mergeCells count="19">
    <mergeCell ref="L3:M3"/>
    <mergeCell ref="N3:O3"/>
    <mergeCell ref="P3:Q3"/>
    <mergeCell ref="A1:Y1"/>
    <mergeCell ref="A28:Y28"/>
    <mergeCell ref="A18:Y18"/>
    <mergeCell ref="R3:S3"/>
    <mergeCell ref="T3:U3"/>
    <mergeCell ref="V3:W3"/>
    <mergeCell ref="X3:Y3"/>
    <mergeCell ref="A2:Y2"/>
    <mergeCell ref="A3:A4"/>
    <mergeCell ref="B3:C3"/>
    <mergeCell ref="D3:E3"/>
    <mergeCell ref="F3:G3"/>
    <mergeCell ref="H3:I3"/>
    <mergeCell ref="J3:K3"/>
    <mergeCell ref="K7:Y7"/>
    <mergeCell ref="A7:J7"/>
  </mergeCells>
  <printOptions horizontalCentered="1" verticalCentered="1"/>
  <pageMargins left="0.23622047244094491" right="0.23622047244094491" top="0.19685039370078741" bottom="0.19685039370078741" header="0.31496062992125984" footer="0.31496062992125984"/>
  <pageSetup paperSize="9" scale="75" orientation="landscape" horizontalDpi="300" verticalDpi="300" r:id="rId1"/>
  <rowBreaks count="1" manualBreakCount="1">
    <brk id="18"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0B9E5-74CB-400F-B908-F77578F6F55A}">
  <sheetPr>
    <pageSetUpPr fitToPage="1"/>
  </sheetPr>
  <dimension ref="A1:X59"/>
  <sheetViews>
    <sheetView showGridLines="0" tabSelected="1" topLeftCell="D28" zoomScale="115" zoomScaleNormal="115" zoomScaleSheetLayoutView="100" workbookViewId="0">
      <selection activeCell="D49" sqref="D49"/>
    </sheetView>
  </sheetViews>
  <sheetFormatPr defaultColWidth="9.109375" defaultRowHeight="13.2" x14ac:dyDescent="0.25"/>
  <cols>
    <col min="1" max="2" width="9.44140625" style="37" customWidth="1"/>
    <col min="3" max="3" width="6.44140625" style="37" customWidth="1"/>
    <col min="4" max="4" width="48.88671875" style="37" customWidth="1"/>
    <col min="5" max="5" width="21.109375" style="37" customWidth="1"/>
    <col min="6" max="6" width="13" style="37" customWidth="1"/>
    <col min="7" max="7" width="11.5546875" style="37" customWidth="1"/>
    <col min="8" max="9" width="13.5546875" style="37" customWidth="1"/>
    <col min="10" max="10" width="9.109375" style="37"/>
    <col min="11" max="11" width="9.44140625" style="37" customWidth="1"/>
    <col min="12" max="12" width="14.88671875" style="37" customWidth="1"/>
    <col min="13" max="23" width="17.6640625" style="38" hidden="1" customWidth="1"/>
    <col min="24" max="24" width="17.6640625" style="37" customWidth="1"/>
    <col min="25" max="25" width="25" style="37" customWidth="1"/>
    <col min="26" max="26" width="11.5546875" style="37" customWidth="1"/>
    <col min="27" max="28" width="11" style="37" customWidth="1"/>
    <col min="29" max="29" width="8.44140625" style="37" customWidth="1"/>
    <col min="30" max="32" width="6.33203125" style="37" bestFit="1" customWidth="1"/>
    <col min="33" max="16384" width="9.109375" style="37"/>
  </cols>
  <sheetData>
    <row r="1" spans="1:23" x14ac:dyDescent="0.25">
      <c r="A1" s="38"/>
      <c r="B1" s="38"/>
      <c r="C1" s="38"/>
      <c r="D1" s="122" t="s">
        <v>143</v>
      </c>
      <c r="E1" s="122" t="s">
        <v>142</v>
      </c>
      <c r="F1" s="121"/>
      <c r="G1" s="121"/>
      <c r="H1" s="120" t="s">
        <v>137</v>
      </c>
      <c r="I1" s="38"/>
      <c r="J1" s="38"/>
      <c r="K1" s="38"/>
      <c r="L1" s="38"/>
    </row>
    <row r="2" spans="1:23" ht="13.8" x14ac:dyDescent="0.25">
      <c r="A2" s="38"/>
      <c r="B2" s="38"/>
      <c r="C2" s="38"/>
      <c r="D2" s="119" t="s">
        <v>141</v>
      </c>
      <c r="E2" s="203"/>
      <c r="F2" s="204"/>
      <c r="G2" s="205"/>
      <c r="H2" s="118" t="s">
        <v>137</v>
      </c>
      <c r="I2" s="38"/>
      <c r="J2" s="38"/>
      <c r="K2" s="38"/>
      <c r="L2" s="38"/>
    </row>
    <row r="3" spans="1:23" x14ac:dyDescent="0.25">
      <c r="A3" s="38"/>
      <c r="B3" s="38"/>
      <c r="C3" s="38"/>
      <c r="D3" s="122" t="s">
        <v>140</v>
      </c>
      <c r="E3" s="123"/>
      <c r="F3" s="121"/>
      <c r="G3" s="121"/>
      <c r="H3" s="120" t="s">
        <v>137</v>
      </c>
      <c r="I3" s="38"/>
      <c r="J3" s="38"/>
      <c r="K3" s="38"/>
      <c r="L3" s="38"/>
    </row>
    <row r="4" spans="1:23" ht="13.8" x14ac:dyDescent="0.25">
      <c r="A4" s="38"/>
      <c r="B4" s="38"/>
      <c r="C4" s="38"/>
      <c r="D4" s="203" t="str">
        <f>ORÇAMENTO!C2</f>
        <v>Centro Esportivo Municipal Antonio da Rocha, Bairro centro, Município de Maracajá/SC</v>
      </c>
      <c r="E4" s="206"/>
      <c r="F4" s="206"/>
      <c r="G4" s="207"/>
      <c r="H4" s="118" t="s">
        <v>137</v>
      </c>
      <c r="I4" s="38"/>
      <c r="J4" s="38"/>
      <c r="K4" s="38"/>
      <c r="L4" s="38"/>
    </row>
    <row r="5" spans="1:23" x14ac:dyDescent="0.25">
      <c r="A5" s="38"/>
      <c r="B5" s="38"/>
      <c r="C5" s="38"/>
      <c r="D5" s="122" t="s">
        <v>139</v>
      </c>
      <c r="E5" s="122" t="s">
        <v>138</v>
      </c>
      <c r="F5" s="121"/>
      <c r="G5" s="121"/>
      <c r="H5" s="120" t="s">
        <v>137</v>
      </c>
      <c r="I5" s="38"/>
      <c r="J5" s="38"/>
      <c r="K5" s="38"/>
      <c r="L5" s="38"/>
    </row>
    <row r="6" spans="1:23" ht="13.8" x14ac:dyDescent="0.25">
      <c r="A6" s="38"/>
      <c r="B6" s="38"/>
      <c r="C6" s="38"/>
      <c r="D6" s="119" t="s">
        <v>144</v>
      </c>
      <c r="E6" s="203"/>
      <c r="F6" s="206"/>
      <c r="G6" s="207"/>
      <c r="H6" s="118" t="s">
        <v>137</v>
      </c>
      <c r="I6" s="38"/>
      <c r="J6" s="56"/>
      <c r="K6" s="38"/>
      <c r="L6" s="117" t="s">
        <v>136</v>
      </c>
      <c r="N6" s="56"/>
    </row>
    <row r="7" spans="1:23" ht="6" customHeight="1" thickBot="1" x14ac:dyDescent="0.3">
      <c r="A7" s="38"/>
      <c r="B7" s="38"/>
      <c r="C7" s="38"/>
      <c r="D7" s="38"/>
      <c r="E7" s="38"/>
      <c r="F7" s="38"/>
      <c r="G7" s="38"/>
      <c r="H7" s="38"/>
      <c r="I7" s="38"/>
      <c r="J7" s="38"/>
      <c r="K7" s="38"/>
      <c r="L7" s="38"/>
    </row>
    <row r="8" spans="1:23" s="114" customFormat="1" ht="18" customHeight="1" thickBot="1" x14ac:dyDescent="0.3">
      <c r="A8" s="208" t="str">
        <f>IF(N24=1,N26,N25)</f>
        <v>Composição do BDI para obras com mão-de-obra onerada</v>
      </c>
      <c r="B8" s="209"/>
      <c r="C8" s="209"/>
      <c r="D8" s="209"/>
      <c r="E8" s="209"/>
      <c r="F8" s="209"/>
      <c r="G8" s="209"/>
      <c r="H8" s="209"/>
      <c r="I8" s="209"/>
      <c r="J8" s="209"/>
      <c r="K8" s="209"/>
      <c r="L8" s="210"/>
      <c r="M8" s="115"/>
      <c r="N8" s="116" t="b">
        <v>0</v>
      </c>
      <c r="O8" s="115"/>
      <c r="P8" s="115"/>
      <c r="Q8" s="115"/>
      <c r="R8" s="115"/>
      <c r="S8" s="115"/>
      <c r="T8" s="115"/>
      <c r="U8" s="115"/>
      <c r="V8" s="115"/>
      <c r="W8" s="115"/>
    </row>
    <row r="9" spans="1:23" ht="2.1" customHeight="1" x14ac:dyDescent="0.25">
      <c r="A9" s="66"/>
      <c r="B9" s="66"/>
      <c r="C9" s="76"/>
      <c r="D9" s="113"/>
      <c r="E9" s="67"/>
      <c r="F9" s="67"/>
      <c r="G9" s="67"/>
      <c r="H9" s="67"/>
      <c r="I9" s="67"/>
      <c r="J9" s="67"/>
      <c r="K9" s="38"/>
      <c r="L9" s="38"/>
    </row>
    <row r="10" spans="1:23" x14ac:dyDescent="0.25">
      <c r="A10" s="66"/>
      <c r="B10" s="66"/>
      <c r="C10" s="76"/>
      <c r="D10" s="68" t="s">
        <v>135</v>
      </c>
      <c r="E10" s="67"/>
      <c r="F10" s="68"/>
      <c r="G10" s="211"/>
      <c r="H10" s="112"/>
      <c r="I10" s="112"/>
      <c r="J10" s="67"/>
      <c r="K10" s="38"/>
      <c r="L10" s="38"/>
      <c r="N10" s="38" t="s">
        <v>98</v>
      </c>
      <c r="O10" s="111">
        <v>1</v>
      </c>
      <c r="P10" s="38" t="str">
        <f>IF(O10=1,N10,IF(O10=2,N11,IF(O10=3,N12,IF(O10=4,N13,IF(O10=5,N14,IF(O10=6,N15," "))))))</f>
        <v>Construção de Edifícios</v>
      </c>
    </row>
    <row r="11" spans="1:23" x14ac:dyDescent="0.25">
      <c r="A11" s="66"/>
      <c r="B11" s="66"/>
      <c r="C11" s="76"/>
      <c r="D11" s="68"/>
      <c r="E11" s="67"/>
      <c r="F11" s="67"/>
      <c r="G11" s="211"/>
      <c r="H11" s="110"/>
      <c r="I11" s="110"/>
      <c r="J11" s="67"/>
      <c r="K11" s="38"/>
      <c r="L11" s="38"/>
      <c r="N11" s="38" t="s">
        <v>95</v>
      </c>
    </row>
    <row r="12" spans="1:23" ht="13.8" thickBot="1" x14ac:dyDescent="0.3">
      <c r="A12" s="66"/>
      <c r="B12" s="66"/>
      <c r="C12" s="76"/>
      <c r="D12" s="68"/>
      <c r="E12" s="67"/>
      <c r="F12" s="67"/>
      <c r="G12" s="67"/>
      <c r="H12" s="67"/>
      <c r="I12" s="67"/>
      <c r="J12" s="67"/>
      <c r="K12" s="38"/>
      <c r="L12" s="38"/>
      <c r="N12" s="38" t="s">
        <v>93</v>
      </c>
    </row>
    <row r="13" spans="1:23" ht="14.1" customHeight="1" thickBot="1" x14ac:dyDescent="0.3">
      <c r="A13" s="66"/>
      <c r="B13" s="66"/>
      <c r="C13" s="194" t="str">
        <f>"COMPOSIÇÃO - BDI para "&amp;P10</f>
        <v>COMPOSIÇÃO - BDI para Construção de Edifícios</v>
      </c>
      <c r="D13" s="195"/>
      <c r="E13" s="195"/>
      <c r="F13" s="195"/>
      <c r="G13" s="195"/>
      <c r="H13" s="195"/>
      <c r="I13" s="196"/>
      <c r="J13" s="38"/>
      <c r="K13" s="38"/>
      <c r="L13" s="38"/>
      <c r="N13" s="38" t="s">
        <v>91</v>
      </c>
    </row>
    <row r="14" spans="1:23" ht="27.9" customHeight="1" x14ac:dyDescent="0.25">
      <c r="A14" s="66"/>
      <c r="B14" s="66"/>
      <c r="C14" s="109" t="s">
        <v>7</v>
      </c>
      <c r="D14" s="108" t="s">
        <v>134</v>
      </c>
      <c r="E14" s="108" t="s">
        <v>133</v>
      </c>
      <c r="F14" s="108" t="s">
        <v>132</v>
      </c>
      <c r="G14" s="108" t="s">
        <v>131</v>
      </c>
      <c r="H14" s="107" t="s">
        <v>130</v>
      </c>
      <c r="I14" s="107" t="s">
        <v>129</v>
      </c>
      <c r="J14" s="38"/>
      <c r="K14" s="38"/>
      <c r="L14" s="38"/>
      <c r="N14" s="38" t="s">
        <v>89</v>
      </c>
    </row>
    <row r="15" spans="1:23" ht="14.1" customHeight="1" x14ac:dyDescent="0.25">
      <c r="A15" s="66"/>
      <c r="B15" s="66"/>
      <c r="C15" s="106">
        <v>1</v>
      </c>
      <c r="D15" s="105" t="s">
        <v>128</v>
      </c>
      <c r="E15" s="104" t="s">
        <v>127</v>
      </c>
      <c r="F15" s="103">
        <v>0.03</v>
      </c>
      <c r="G15" s="102" t="str">
        <f t="shared" ref="G15:G24" si="0">IF(F15="","",IF(AND(F15&gt;=H15,F15&lt;=I15),"OK",""))</f>
        <v>OK</v>
      </c>
      <c r="H15" s="93">
        <f>INDEX(matriz,$W17,$O$10)</f>
        <v>0.03</v>
      </c>
      <c r="I15" s="93">
        <f>INDEX(matriz2,$W23,$O$10)</f>
        <v>5.5E-2</v>
      </c>
      <c r="J15" s="38"/>
      <c r="K15" s="38"/>
      <c r="L15" s="38"/>
      <c r="N15" s="38" t="s">
        <v>87</v>
      </c>
    </row>
    <row r="16" spans="1:23" ht="14.1" customHeight="1" x14ac:dyDescent="0.25">
      <c r="A16" s="66"/>
      <c r="B16" s="66"/>
      <c r="C16" s="97">
        <v>2</v>
      </c>
      <c r="D16" s="96" t="s">
        <v>126</v>
      </c>
      <c r="E16" s="95" t="s">
        <v>125</v>
      </c>
      <c r="F16" s="100">
        <v>0.01</v>
      </c>
      <c r="G16" s="88" t="str">
        <f t="shared" si="0"/>
        <v>OK</v>
      </c>
      <c r="H16" s="93">
        <f>INDEX(matriz,$W18,$O$10)</f>
        <v>8.0000000000000002E-3</v>
      </c>
      <c r="I16" s="93">
        <f>INDEX(matriz2,$W24,$O$10)</f>
        <v>0.01</v>
      </c>
      <c r="J16" s="38"/>
      <c r="K16" s="38"/>
      <c r="L16" s="38"/>
      <c r="P16" s="38" t="s">
        <v>124</v>
      </c>
      <c r="Q16" s="38">
        <v>1</v>
      </c>
      <c r="R16" s="38">
        <v>2</v>
      </c>
      <c r="S16" s="38">
        <v>3</v>
      </c>
      <c r="T16" s="38">
        <v>4</v>
      </c>
      <c r="U16" s="38">
        <v>5</v>
      </c>
      <c r="V16" s="38">
        <v>6</v>
      </c>
    </row>
    <row r="17" spans="1:23" ht="14.1" customHeight="1" x14ac:dyDescent="0.25">
      <c r="A17" s="66"/>
      <c r="B17" s="66"/>
      <c r="C17" s="97">
        <v>3</v>
      </c>
      <c r="D17" s="96" t="s">
        <v>123</v>
      </c>
      <c r="E17" s="95" t="s">
        <v>122</v>
      </c>
      <c r="F17" s="100">
        <v>0.01</v>
      </c>
      <c r="G17" s="88" t="str">
        <f t="shared" si="0"/>
        <v>OK</v>
      </c>
      <c r="H17" s="93">
        <f>INDEX(matriz,$W19,$O$10)</f>
        <v>9.7000000000000003E-3</v>
      </c>
      <c r="I17" s="93">
        <f>INDEX(matriz2,$W25,$O$10)</f>
        <v>1.2699999999999999E-2</v>
      </c>
      <c r="J17" s="38"/>
      <c r="K17" s="99"/>
      <c r="L17" s="38"/>
      <c r="N17" s="56"/>
      <c r="Q17" s="63">
        <v>0.03</v>
      </c>
      <c r="R17" s="63">
        <v>3.7999999999999999E-2</v>
      </c>
      <c r="S17" s="63">
        <v>3.4299999999999997E-2</v>
      </c>
      <c r="T17" s="63">
        <v>5.2900000000000003E-2</v>
      </c>
      <c r="U17" s="63">
        <v>0.04</v>
      </c>
      <c r="V17" s="63">
        <v>1.4999999999999999E-2</v>
      </c>
      <c r="W17" s="38">
        <v>1</v>
      </c>
    </row>
    <row r="18" spans="1:23" ht="14.1" customHeight="1" x14ac:dyDescent="0.25">
      <c r="A18" s="66"/>
      <c r="B18" s="66"/>
      <c r="C18" s="97">
        <v>4</v>
      </c>
      <c r="D18" s="96" t="s">
        <v>121</v>
      </c>
      <c r="E18" s="95" t="s">
        <v>120</v>
      </c>
      <c r="F18" s="100">
        <v>0.01</v>
      </c>
      <c r="G18" s="88" t="str">
        <f t="shared" si="0"/>
        <v>OK</v>
      </c>
      <c r="H18" s="93">
        <f>INDEX(matriz,$W20,$O$10)</f>
        <v>5.8999999999999999E-3</v>
      </c>
      <c r="I18" s="93">
        <f>INDEX(matriz2,$W26,$O$10)</f>
        <v>1.3899999999999999E-2</v>
      </c>
      <c r="J18" s="38"/>
      <c r="K18" s="99"/>
      <c r="L18" s="38"/>
      <c r="N18" s="101">
        <f>((((1+F15+F16+F17)*(1+F18)*(1+F19))/(1-(F20-0.045))-1))</f>
        <v>0.15435723045477756</v>
      </c>
      <c r="Q18" s="63">
        <v>8.0000000000000002E-3</v>
      </c>
      <c r="R18" s="63">
        <v>3.2000000000000002E-3</v>
      </c>
      <c r="S18" s="63">
        <v>2.8E-3</v>
      </c>
      <c r="T18" s="63">
        <v>2.5000000000000001E-3</v>
      </c>
      <c r="U18" s="63">
        <v>8.0999999999999996E-3</v>
      </c>
      <c r="V18" s="63">
        <v>3.0000000000000001E-3</v>
      </c>
      <c r="W18" s="38">
        <v>2</v>
      </c>
    </row>
    <row r="19" spans="1:23" ht="14.1" customHeight="1" x14ac:dyDescent="0.25">
      <c r="A19" s="66"/>
      <c r="B19" s="66"/>
      <c r="C19" s="97">
        <v>5</v>
      </c>
      <c r="D19" s="96" t="s">
        <v>119</v>
      </c>
      <c r="E19" s="95" t="s">
        <v>118</v>
      </c>
      <c r="F19" s="100">
        <v>6.5100000000000005E-2</v>
      </c>
      <c r="G19" s="88" t="str">
        <f t="shared" si="0"/>
        <v>OK</v>
      </c>
      <c r="H19" s="93">
        <f>INDEX(matriz,$W21,$O$10)</f>
        <v>6.1600000000000002E-2</v>
      </c>
      <c r="I19" s="93">
        <f>INDEX(matriz2,$W27,$O$10)</f>
        <v>8.9599999999999999E-2</v>
      </c>
      <c r="J19" s="38"/>
      <c r="K19" s="99"/>
      <c r="L19" s="38"/>
      <c r="N19" s="56" t="str">
        <f>"Percentual de BDI superior ao limite estipulado pelo Acórdão TCU 2.622/2013 devido a soma de 4,5% (CPRB, conforme LEI 13.161/2015) no item Tributos, referente a desoneração na Contribuição Previdenciária. O cálculo dessa composição onerada resulta em " &amp;N22</f>
        <v>Percentual de BDI superior ao limite estipulado pelo Acórdão TCU 2.622/2013 devido a soma de 4,5% (CPRB, conforme LEI 13.161/2015) no item Tributos, referente a desoneração na Contribuição Previdenciária. O cálculo dessa composição onerada resulta em 15,44%</v>
      </c>
      <c r="Q19" s="63">
        <v>9.7000000000000003E-3</v>
      </c>
      <c r="R19" s="63">
        <v>5.0000000000000001E-3</v>
      </c>
      <c r="S19" s="63">
        <v>0.01</v>
      </c>
      <c r="T19" s="63">
        <v>0.01</v>
      </c>
      <c r="U19" s="63">
        <v>1.46E-2</v>
      </c>
      <c r="V19" s="63">
        <v>5.5999999999999999E-3</v>
      </c>
      <c r="W19" s="38">
        <v>3</v>
      </c>
    </row>
    <row r="20" spans="1:23" ht="14.1" customHeight="1" x14ac:dyDescent="0.25">
      <c r="A20" s="66"/>
      <c r="B20" s="66"/>
      <c r="C20" s="97">
        <v>6</v>
      </c>
      <c r="D20" s="96" t="s">
        <v>117</v>
      </c>
      <c r="E20" s="95" t="s">
        <v>116</v>
      </c>
      <c r="F20" s="94">
        <f>SUM(F21:F24)</f>
        <v>6.6500000000000004E-2</v>
      </c>
      <c r="G20" s="88" t="str">
        <f t="shared" si="0"/>
        <v>OK</v>
      </c>
      <c r="H20" s="93">
        <f>IF(N24=1,0.0365,0.0815)</f>
        <v>3.6499999999999998E-2</v>
      </c>
      <c r="I20" s="93">
        <f>IF(N24=1,0.0865,0.1315)</f>
        <v>8.6499999999999994E-2</v>
      </c>
      <c r="J20" s="38"/>
      <c r="K20" s="38"/>
      <c r="L20" s="38"/>
      <c r="N20" s="98">
        <f>ROUND(N18*100,2)</f>
        <v>15.44</v>
      </c>
      <c r="Q20" s="63">
        <v>5.8999999999999999E-3</v>
      </c>
      <c r="R20" s="63">
        <v>1.0200000000000001E-2</v>
      </c>
      <c r="S20" s="63">
        <v>9.4000000000000004E-3</v>
      </c>
      <c r="T20" s="63">
        <v>1.01E-2</v>
      </c>
      <c r="U20" s="63">
        <v>9.4000000000000004E-3</v>
      </c>
      <c r="V20" s="63">
        <v>8.5000000000000006E-3</v>
      </c>
      <c r="W20" s="38">
        <v>4</v>
      </c>
    </row>
    <row r="21" spans="1:23" ht="14.1" customHeight="1" thickBot="1" x14ac:dyDescent="0.3">
      <c r="A21" s="197"/>
      <c r="B21" s="197"/>
      <c r="C21" s="97" t="s">
        <v>115</v>
      </c>
      <c r="D21" s="96" t="s">
        <v>114</v>
      </c>
      <c r="E21" s="95" t="s">
        <v>114</v>
      </c>
      <c r="F21" s="94">
        <v>6.4999999999999997E-3</v>
      </c>
      <c r="G21" s="88" t="str">
        <f t="shared" si="0"/>
        <v>OK</v>
      </c>
      <c r="H21" s="93">
        <v>6.4999999999999997E-3</v>
      </c>
      <c r="I21" s="93">
        <v>6.4999999999999997E-3</v>
      </c>
      <c r="J21" s="198" t="str">
        <f>IF(N24=2,"Foi incluída a CPRB com a alíquota de 4,50% sobre a Receita Bruta"," ")</f>
        <v xml:space="preserve"> </v>
      </c>
      <c r="K21" s="198"/>
      <c r="L21" s="198"/>
      <c r="N21" s="56" t="s">
        <v>113</v>
      </c>
      <c r="Q21" s="63">
        <v>6.1600000000000002E-2</v>
      </c>
      <c r="R21" s="63">
        <v>6.6400000000000001E-2</v>
      </c>
      <c r="S21" s="63">
        <v>6.7400000000000002E-2</v>
      </c>
      <c r="T21" s="63">
        <v>0.08</v>
      </c>
      <c r="U21" s="63">
        <v>7.1400000000000005E-2</v>
      </c>
      <c r="V21" s="63">
        <v>3.5000000000000003E-2</v>
      </c>
      <c r="W21" s="38">
        <v>5</v>
      </c>
    </row>
    <row r="22" spans="1:23" ht="14.1" customHeight="1" x14ac:dyDescent="0.25">
      <c r="A22" s="199" t="s">
        <v>112</v>
      </c>
      <c r="B22" s="201" t="s">
        <v>111</v>
      </c>
      <c r="C22" s="97" t="s">
        <v>110</v>
      </c>
      <c r="D22" s="96" t="s">
        <v>109</v>
      </c>
      <c r="E22" s="95" t="s">
        <v>109</v>
      </c>
      <c r="F22" s="94">
        <v>0.03</v>
      </c>
      <c r="G22" s="88" t="str">
        <f t="shared" si="0"/>
        <v>OK</v>
      </c>
      <c r="H22" s="93">
        <v>0.03</v>
      </c>
      <c r="I22" s="93">
        <v>0.03</v>
      </c>
      <c r="J22" s="198"/>
      <c r="K22" s="198"/>
      <c r="L22" s="198"/>
      <c r="N22" s="56" t="str">
        <f>N20&amp;N21</f>
        <v>15,44%</v>
      </c>
      <c r="P22" s="38" t="s">
        <v>108</v>
      </c>
      <c r="Q22" s="38">
        <v>1</v>
      </c>
      <c r="R22" s="38">
        <v>2</v>
      </c>
      <c r="S22" s="38">
        <v>3</v>
      </c>
      <c r="T22" s="38">
        <v>4</v>
      </c>
      <c r="U22" s="38">
        <v>5</v>
      </c>
      <c r="V22" s="38">
        <v>6</v>
      </c>
    </row>
    <row r="23" spans="1:23" ht="14.1" customHeight="1" thickBot="1" x14ac:dyDescent="0.3">
      <c r="A23" s="200"/>
      <c r="B23" s="202"/>
      <c r="C23" s="92" t="s">
        <v>107</v>
      </c>
      <c r="D23" s="91" t="s">
        <v>106</v>
      </c>
      <c r="E23" s="90" t="s">
        <v>105</v>
      </c>
      <c r="F23" s="89">
        <f>IF(N24=1,0,0.045)</f>
        <v>0</v>
      </c>
      <c r="G23" s="88" t="str">
        <f t="shared" si="0"/>
        <v>OK</v>
      </c>
      <c r="H23" s="87">
        <f>IF(N24=1,0,0.045)</f>
        <v>0</v>
      </c>
      <c r="I23" s="87">
        <f>IF(N24=1,0,0.045)</f>
        <v>0</v>
      </c>
      <c r="J23" s="86"/>
      <c r="K23" s="86"/>
      <c r="L23" s="86"/>
      <c r="N23" s="56"/>
      <c r="Q23" s="63">
        <v>5.5E-2</v>
      </c>
      <c r="R23" s="63">
        <v>4.6699999999999998E-2</v>
      </c>
      <c r="S23" s="63">
        <v>6.7100000000000007E-2</v>
      </c>
      <c r="T23" s="63">
        <v>7.9299999999999995E-2</v>
      </c>
      <c r="U23" s="63">
        <v>7.85E-2</v>
      </c>
      <c r="V23" s="63">
        <v>4.4900000000000002E-2</v>
      </c>
      <c r="W23" s="38">
        <v>1</v>
      </c>
    </row>
    <row r="24" spans="1:23" ht="14.1" customHeight="1" thickBot="1" x14ac:dyDescent="0.3">
      <c r="A24" s="85">
        <v>0.03</v>
      </c>
      <c r="B24" s="84">
        <v>1</v>
      </c>
      <c r="C24" s="83" t="s">
        <v>104</v>
      </c>
      <c r="D24" s="82" t="s">
        <v>103</v>
      </c>
      <c r="E24" s="81" t="s">
        <v>103</v>
      </c>
      <c r="F24" s="80">
        <f>A24*B24</f>
        <v>0.03</v>
      </c>
      <c r="G24" s="79" t="str">
        <f t="shared" si="0"/>
        <v>OK</v>
      </c>
      <c r="H24" s="78">
        <f>IF(B24=0,0.02,0.02*B24)</f>
        <v>0.02</v>
      </c>
      <c r="I24" s="78">
        <f>IF(B24=0,0.05,0.05*B24)</f>
        <v>0.05</v>
      </c>
      <c r="J24" s="77"/>
      <c r="K24" s="77"/>
      <c r="L24" s="77"/>
      <c r="N24" s="61">
        <f>IF(N8=TRUE,2,1)</f>
        <v>1</v>
      </c>
      <c r="Q24" s="63">
        <v>0.01</v>
      </c>
      <c r="R24" s="63">
        <v>7.4000000000000003E-3</v>
      </c>
      <c r="S24" s="63">
        <v>7.4999999999999997E-3</v>
      </c>
      <c r="T24" s="63">
        <v>5.5999999999999999E-3</v>
      </c>
      <c r="U24" s="63">
        <v>1.9900000000000001E-2</v>
      </c>
      <c r="V24" s="63">
        <v>8.2000000000000007E-3</v>
      </c>
      <c r="W24" s="38">
        <v>2</v>
      </c>
    </row>
    <row r="25" spans="1:23" ht="14.1" customHeight="1" x14ac:dyDescent="0.25">
      <c r="A25" s="66"/>
      <c r="B25" s="66"/>
      <c r="C25" s="76"/>
      <c r="D25" s="68"/>
      <c r="E25" s="175" t="s">
        <v>102</v>
      </c>
      <c r="F25" s="176"/>
      <c r="G25" s="177"/>
      <c r="H25" s="178" t="str">
        <f>IF(O10=1,S30,IF(O10=2,S31,IF(O10=3,S32,IF(O10=4,S33,IF(O10=5,S34,IF(O10=6,S35," "))))))</f>
        <v>de 20,34% a 25,00%</v>
      </c>
      <c r="I25" s="179"/>
      <c r="J25" s="75"/>
      <c r="K25" s="75"/>
      <c r="L25" s="75"/>
      <c r="N25" s="38" t="s">
        <v>101</v>
      </c>
      <c r="Q25" s="63">
        <v>1.2699999999999999E-2</v>
      </c>
      <c r="R25" s="63">
        <v>9.7000000000000003E-3</v>
      </c>
      <c r="S25" s="63">
        <v>1.7399999999999999E-2</v>
      </c>
      <c r="T25" s="63">
        <v>1.9699999999999999E-2</v>
      </c>
      <c r="U25" s="63">
        <v>3.1600000000000003E-2</v>
      </c>
      <c r="V25" s="63">
        <v>8.8999999999999999E-3</v>
      </c>
      <c r="W25" s="38">
        <v>3</v>
      </c>
    </row>
    <row r="26" spans="1:23" ht="12.75" customHeight="1" thickBot="1" x14ac:dyDescent="0.3">
      <c r="A26" s="66"/>
      <c r="B26" s="180" t="s">
        <v>100</v>
      </c>
      <c r="C26" s="181"/>
      <c r="D26" s="182"/>
      <c r="E26" s="67"/>
      <c r="F26" s="67"/>
      <c r="G26" s="67"/>
      <c r="H26" s="67"/>
      <c r="I26" s="38"/>
      <c r="J26" s="40"/>
      <c r="K26" s="40"/>
      <c r="L26" s="40"/>
      <c r="N26" s="38" t="s">
        <v>99</v>
      </c>
      <c r="Q26" s="63">
        <v>1.3899999999999999E-2</v>
      </c>
      <c r="R26" s="63">
        <v>1.21E-2</v>
      </c>
      <c r="S26" s="63">
        <v>1.17E-2</v>
      </c>
      <c r="T26" s="63">
        <v>1.11E-2</v>
      </c>
      <c r="U26" s="63">
        <v>1.3299999999999999E-2</v>
      </c>
      <c r="V26" s="63">
        <v>1.11E-2</v>
      </c>
      <c r="W26" s="38">
        <v>4</v>
      </c>
    </row>
    <row r="27" spans="1:23" ht="18" customHeight="1" x14ac:dyDescent="0.25">
      <c r="A27" s="74"/>
      <c r="B27" s="73"/>
      <c r="C27" s="69"/>
      <c r="D27" s="68"/>
      <c r="E27" s="183" t="s">
        <v>19</v>
      </c>
      <c r="F27" s="185">
        <f>((((1+F15+F16+F17)*(1+F18)*(1+F19))/(1-F20))-1)</f>
        <v>0.21000380289234055</v>
      </c>
      <c r="G27" s="186" t="str">
        <f>N54</f>
        <v>OK!</v>
      </c>
      <c r="H27" s="187"/>
      <c r="I27" s="188"/>
      <c r="J27" s="38"/>
      <c r="K27" s="38"/>
      <c r="L27" s="38"/>
      <c r="N27" s="38" t="str">
        <f>IF(Q44=2,N44,IF(Q44=3,N45,IF(Q44=4,N46,IF(Q44=5,N47,IF(Q44=6,O48,"Erro")))))</f>
        <v>Percentual do BDI quando calculado sem desoneração é inferior ao limite estipulado pelo Acórdão TCU 2.622/2013.</v>
      </c>
      <c r="Q27" s="63">
        <v>8.9599999999999999E-2</v>
      </c>
      <c r="R27" s="63">
        <v>8.6900000000000005E-2</v>
      </c>
      <c r="S27" s="63">
        <v>9.4E-2</v>
      </c>
      <c r="T27" s="63">
        <v>9.5100000000000004E-2</v>
      </c>
      <c r="U27" s="63">
        <v>0.1043</v>
      </c>
      <c r="V27" s="63">
        <v>6.2199999999999998E-2</v>
      </c>
      <c r="W27" s="38">
        <v>5</v>
      </c>
    </row>
    <row r="28" spans="1:23" ht="18" customHeight="1" thickBot="1" x14ac:dyDescent="0.3">
      <c r="A28" s="74"/>
      <c r="B28" s="73"/>
      <c r="C28" s="69"/>
      <c r="D28" s="68"/>
      <c r="E28" s="184"/>
      <c r="F28" s="184"/>
      <c r="G28" s="189"/>
      <c r="H28" s="189"/>
      <c r="I28" s="190"/>
      <c r="J28" s="38"/>
      <c r="K28" s="38"/>
      <c r="L28" s="38"/>
      <c r="N28" s="38" t="str">
        <f>IF(R44=2,N44,IF(R44=3,N46,IF(R44=4,O48,"Erro")))</f>
        <v>OK!</v>
      </c>
    </row>
    <row r="29" spans="1:23" ht="18" customHeight="1" x14ac:dyDescent="0.25">
      <c r="A29" s="69"/>
      <c r="B29" s="72"/>
      <c r="C29" s="71"/>
      <c r="D29" s="70"/>
      <c r="E29" s="67"/>
      <c r="F29" s="67"/>
      <c r="G29" s="191"/>
      <c r="H29" s="192"/>
      <c r="I29" s="193"/>
      <c r="J29" s="38"/>
      <c r="K29" s="38"/>
      <c r="L29" s="38"/>
    </row>
    <row r="30" spans="1:23" ht="12.75" customHeight="1" x14ac:dyDescent="0.25">
      <c r="A30" s="69"/>
      <c r="B30" s="66"/>
      <c r="C30" s="68"/>
      <c r="D30" s="38"/>
      <c r="E30" s="67"/>
      <c r="F30" s="67"/>
      <c r="G30" s="67"/>
      <c r="H30" s="67"/>
      <c r="I30" s="67"/>
      <c r="J30" s="38"/>
      <c r="K30" s="38"/>
      <c r="L30" s="38"/>
      <c r="N30" s="38" t="str">
        <f>(B24*100)&amp;N21</f>
        <v>100%</v>
      </c>
      <c r="P30" s="38" t="s">
        <v>98</v>
      </c>
      <c r="Q30" s="63">
        <v>0.2034</v>
      </c>
      <c r="R30" s="63">
        <v>0.25</v>
      </c>
      <c r="S30" s="38" t="s">
        <v>97</v>
      </c>
      <c r="W30" s="38">
        <v>1</v>
      </c>
    </row>
    <row r="31" spans="1:23" ht="12.75" customHeight="1" x14ac:dyDescent="0.25">
      <c r="A31" s="66"/>
      <c r="B31" s="60" t="s">
        <v>96</v>
      </c>
      <c r="C31" s="51"/>
      <c r="D31" s="51"/>
      <c r="E31" s="51"/>
      <c r="F31" s="51"/>
      <c r="G31" s="51"/>
      <c r="H31" s="51"/>
      <c r="I31" s="51"/>
      <c r="J31" s="38"/>
      <c r="K31" s="38"/>
      <c r="L31" s="38"/>
      <c r="N31" s="38" t="str">
        <f>(A24*100)&amp;N21</f>
        <v>3%</v>
      </c>
      <c r="P31" s="38" t="s">
        <v>95</v>
      </c>
      <c r="Q31" s="63">
        <v>0.19600000000000001</v>
      </c>
      <c r="R31" s="63">
        <v>0.24229999999999999</v>
      </c>
      <c r="S31" s="38" t="s">
        <v>94</v>
      </c>
      <c r="W31" s="38">
        <v>2</v>
      </c>
    </row>
    <row r="32" spans="1:23" ht="12.75" customHeight="1" x14ac:dyDescent="0.25">
      <c r="A32" s="66"/>
      <c r="B32" s="60"/>
      <c r="C32" s="51"/>
      <c r="D32" s="51"/>
      <c r="E32" s="51"/>
      <c r="F32" s="51"/>
      <c r="G32" s="51"/>
      <c r="H32" s="51"/>
      <c r="I32" s="51"/>
      <c r="J32" s="38"/>
      <c r="K32" s="38"/>
      <c r="L32" s="38"/>
      <c r="N32" s="38" t="str">
        <f>" e a sua base de cálculo é de "&amp;N30</f>
        <v xml:space="preserve"> e a sua base de cálculo é de 100%</v>
      </c>
      <c r="P32" s="38" t="s">
        <v>93</v>
      </c>
      <c r="Q32" s="63">
        <v>0.20760000000000001</v>
      </c>
      <c r="R32" s="63">
        <v>0.26440000000000002</v>
      </c>
      <c r="S32" s="38" t="s">
        <v>92</v>
      </c>
      <c r="W32" s="38">
        <v>3</v>
      </c>
    </row>
    <row r="33" spans="1:23" ht="12.75" customHeight="1" x14ac:dyDescent="0.25">
      <c r="A33" s="51"/>
      <c r="B33" s="51"/>
      <c r="C33" s="51"/>
      <c r="D33" s="51"/>
      <c r="E33" s="51"/>
      <c r="F33" s="51"/>
      <c r="G33" s="51"/>
      <c r="H33" s="51"/>
      <c r="I33" s="51"/>
      <c r="J33" s="51"/>
      <c r="K33" s="51"/>
      <c r="L33" s="51"/>
      <c r="N33" s="38" t="str">
        <f>N31&amp;N32</f>
        <v>3% e a sua base de cálculo é de 100%</v>
      </c>
      <c r="P33" s="38" t="s">
        <v>91</v>
      </c>
      <c r="Q33" s="63">
        <v>0.24</v>
      </c>
      <c r="R33" s="63">
        <v>0.27860000000000001</v>
      </c>
      <c r="S33" s="38" t="s">
        <v>90</v>
      </c>
      <c r="W33" s="38">
        <v>4</v>
      </c>
    </row>
    <row r="34" spans="1:23" ht="12.75" customHeight="1" x14ac:dyDescent="0.25">
      <c r="A34" s="51"/>
      <c r="B34" s="51"/>
      <c r="C34" s="51"/>
      <c r="D34" s="51"/>
      <c r="E34" s="51"/>
      <c r="F34" s="51"/>
      <c r="G34" s="51"/>
      <c r="H34" s="51"/>
      <c r="I34" s="51"/>
      <c r="J34" s="51"/>
      <c r="K34" s="51"/>
      <c r="L34" s="51"/>
      <c r="N34" s="38" t="str">
        <f>" sobre o valor total do orçamento."</f>
        <v xml:space="preserve"> sobre o valor total do orçamento.</v>
      </c>
      <c r="P34" s="38" t="s">
        <v>89</v>
      </c>
      <c r="Q34" s="63">
        <v>0.22800000000000001</v>
      </c>
      <c r="R34" s="63">
        <v>0.3095</v>
      </c>
      <c r="S34" s="38" t="s">
        <v>88</v>
      </c>
      <c r="W34" s="38">
        <v>5</v>
      </c>
    </row>
    <row r="35" spans="1:23" ht="12.75" customHeight="1" x14ac:dyDescent="0.25">
      <c r="A35" s="51"/>
      <c r="B35" s="51"/>
      <c r="C35" s="51"/>
      <c r="D35" s="51"/>
      <c r="E35" s="51"/>
      <c r="F35" s="51"/>
      <c r="G35" s="51"/>
      <c r="H35" s="51"/>
      <c r="I35" s="51"/>
      <c r="J35" s="51"/>
      <c r="K35" s="51"/>
      <c r="L35" s="51"/>
      <c r="N35" s="38" t="str">
        <f>N33&amp;N34</f>
        <v>3% e a sua base de cálculo é de 100% sobre o valor total do orçamento.</v>
      </c>
      <c r="P35" s="38" t="s">
        <v>87</v>
      </c>
      <c r="Q35" s="63">
        <v>0.111</v>
      </c>
      <c r="R35" s="63">
        <v>0.16800000000000001</v>
      </c>
      <c r="S35" s="38" t="s">
        <v>86</v>
      </c>
      <c r="W35" s="38">
        <v>6</v>
      </c>
    </row>
    <row r="36" spans="1:23" ht="12.75" customHeight="1" x14ac:dyDescent="0.25">
      <c r="A36" s="38"/>
      <c r="B36" s="152" t="str">
        <f>IF(N24=2,(IF(Q44=5,N19," "))," ")</f>
        <v xml:space="preserve"> </v>
      </c>
      <c r="C36" s="153"/>
      <c r="D36" s="153"/>
      <c r="E36" s="153"/>
      <c r="F36" s="153"/>
      <c r="G36" s="153"/>
      <c r="H36" s="153"/>
      <c r="I36" s="153"/>
      <c r="J36" s="153"/>
      <c r="K36" s="154"/>
      <c r="L36" s="38"/>
    </row>
    <row r="37" spans="1:23" ht="12.75" customHeight="1" x14ac:dyDescent="0.25">
      <c r="A37" s="38"/>
      <c r="B37" s="155"/>
      <c r="C37" s="156"/>
      <c r="D37" s="156"/>
      <c r="E37" s="156"/>
      <c r="F37" s="156"/>
      <c r="G37" s="156"/>
      <c r="H37" s="156"/>
      <c r="I37" s="156"/>
      <c r="J37" s="156"/>
      <c r="K37" s="157"/>
      <c r="L37" s="38"/>
      <c r="P37" s="38" t="s">
        <v>85</v>
      </c>
      <c r="Q37" s="63">
        <f>INDEX(Q30:R35,O10,1)</f>
        <v>0.2034</v>
      </c>
      <c r="R37" s="63">
        <f>INDEX(Q30:R35,O10,2)</f>
        <v>0.25</v>
      </c>
    </row>
    <row r="38" spans="1:23" ht="12.75" customHeight="1" x14ac:dyDescent="0.25">
      <c r="A38" s="38"/>
      <c r="B38" s="62" t="s">
        <v>84</v>
      </c>
      <c r="C38" s="65"/>
      <c r="D38" s="65"/>
      <c r="E38" s="65"/>
      <c r="F38" s="65"/>
      <c r="G38" s="64"/>
      <c r="H38" s="64"/>
      <c r="I38" s="64"/>
      <c r="J38" s="64"/>
      <c r="K38" s="64"/>
      <c r="L38" s="38"/>
      <c r="Q38" s="63"/>
    </row>
    <row r="39" spans="1:23" ht="12.75" customHeight="1" x14ac:dyDescent="0.25">
      <c r="A39" s="38"/>
      <c r="B39" s="62" t="str">
        <f>IF(N24=2,"Obs²: O cálculo desta composição de BDI considera a desoneração da contribuição previdenciária, conforme Lei 13.161/2015."," ")</f>
        <v xml:space="preserve"> </v>
      </c>
      <c r="C39" s="38"/>
      <c r="D39" s="60"/>
      <c r="E39" s="56"/>
      <c r="F39" s="56"/>
      <c r="G39" s="64"/>
      <c r="H39" s="64"/>
      <c r="I39" s="64"/>
      <c r="J39" s="64"/>
      <c r="K39" s="64"/>
      <c r="L39" s="38"/>
      <c r="P39" s="38" t="s">
        <v>83</v>
      </c>
      <c r="Q39" s="63">
        <f>IF(N24=1,F27,N20/100)</f>
        <v>0.21000380289234055</v>
      </c>
    </row>
    <row r="40" spans="1:23" ht="36" customHeight="1" thickBot="1" x14ac:dyDescent="0.3">
      <c r="A40" s="38"/>
      <c r="B40" s="158" t="str">
        <f>IF(N24=2,N50,N51)</f>
        <v>Eu, responsável técnico pelo orçamento, declaro para os devidos fins, que a opção pela oneração sobre a folha de pagamento é mais adequada para a administração pública.</v>
      </c>
      <c r="C40" s="159"/>
      <c r="D40" s="159"/>
      <c r="E40" s="159"/>
      <c r="F40" s="159"/>
      <c r="G40" s="159"/>
      <c r="H40" s="159"/>
      <c r="I40" s="159"/>
      <c r="J40" s="159"/>
      <c r="K40" s="159"/>
      <c r="L40" s="38"/>
      <c r="S40" s="63"/>
      <c r="T40" s="63"/>
    </row>
    <row r="41" spans="1:23" ht="12.75" customHeight="1" thickTop="1" thickBot="1" x14ac:dyDescent="0.3">
      <c r="A41" s="38"/>
      <c r="B41" s="62"/>
      <c r="C41" s="38"/>
      <c r="D41" s="60"/>
      <c r="E41" s="56"/>
      <c r="F41" s="56"/>
      <c r="G41" s="162" t="s">
        <v>82</v>
      </c>
      <c r="H41" s="163"/>
      <c r="I41" s="163"/>
      <c r="J41" s="163"/>
      <c r="K41" s="164"/>
      <c r="L41" s="38"/>
      <c r="Q41" s="38" t="s">
        <v>81</v>
      </c>
      <c r="R41" s="38" t="s">
        <v>80</v>
      </c>
      <c r="S41" s="38" t="s">
        <v>79</v>
      </c>
    </row>
    <row r="42" spans="1:23" ht="13.5" customHeight="1" thickTop="1" x14ac:dyDescent="0.25">
      <c r="A42" s="38"/>
      <c r="B42" s="38"/>
      <c r="C42" s="38"/>
      <c r="D42" s="60"/>
      <c r="E42" s="38"/>
      <c r="F42" s="38"/>
      <c r="G42" s="165" t="str">
        <f>"        Declaro, conforme legislação tributária municipal, que a alíquota do ISS é de "&amp;N35</f>
        <v xml:space="preserve">        Declaro, conforme legislação tributária municipal, que a alíquota do ISS é de 3% e a sua base de cálculo é de 100% sobre o valor total do orçamento.</v>
      </c>
      <c r="H42" s="166"/>
      <c r="I42" s="166"/>
      <c r="J42" s="166"/>
      <c r="K42" s="167"/>
      <c r="L42" s="38"/>
      <c r="P42" s="38" t="s">
        <v>78</v>
      </c>
      <c r="Q42" s="61">
        <f>IF(N18&lt;Q37,1,IF(N18&gt;R37,3,2))</f>
        <v>1</v>
      </c>
      <c r="R42" s="38">
        <f>IF(F27&lt;Q37,1,2)</f>
        <v>2</v>
      </c>
    </row>
    <row r="43" spans="1:23" x14ac:dyDescent="0.25">
      <c r="A43" s="171">
        <v>45610</v>
      </c>
      <c r="B43" s="171"/>
      <c r="C43" s="171"/>
      <c r="D43" s="60"/>
      <c r="E43" s="38"/>
      <c r="F43" s="38"/>
      <c r="G43" s="168"/>
      <c r="H43" s="169"/>
      <c r="I43" s="169"/>
      <c r="J43" s="169"/>
      <c r="K43" s="170"/>
      <c r="L43" s="51"/>
      <c r="M43" s="51"/>
      <c r="N43" s="51"/>
      <c r="O43" s="51" t="s">
        <v>77</v>
      </c>
      <c r="P43" s="51" t="s">
        <v>76</v>
      </c>
      <c r="Q43" s="58">
        <f>IF(F27&lt;Q37,1,IF(F27&gt;R37,3,2))</f>
        <v>2</v>
      </c>
      <c r="R43" s="51">
        <f>IF(F27&lt;R37,1,2)</f>
        <v>1</v>
      </c>
      <c r="S43" s="51"/>
      <c r="T43" s="51"/>
      <c r="U43" s="51"/>
      <c r="V43" s="51"/>
      <c r="W43" s="51"/>
    </row>
    <row r="44" spans="1:23" s="48" customFormat="1" ht="12.75" customHeight="1" x14ac:dyDescent="0.25">
      <c r="A44" s="172" t="s">
        <v>75</v>
      </c>
      <c r="B44" s="172"/>
      <c r="C44" s="172"/>
      <c r="D44" s="60"/>
      <c r="E44" s="59"/>
      <c r="F44" s="59"/>
      <c r="G44" s="168"/>
      <c r="H44" s="169"/>
      <c r="I44" s="169"/>
      <c r="J44" s="169"/>
      <c r="K44" s="170"/>
      <c r="L44" s="51"/>
      <c r="M44" s="51">
        <v>2</v>
      </c>
      <c r="N44" s="51" t="s">
        <v>74</v>
      </c>
      <c r="O44" s="51" t="s">
        <v>73</v>
      </c>
      <c r="P44" s="57"/>
      <c r="Q44" s="58">
        <f>SUM(Q42:Q43)</f>
        <v>3</v>
      </c>
      <c r="R44" s="51">
        <f>SUM(R42:R43)</f>
        <v>3</v>
      </c>
      <c r="S44" s="51"/>
      <c r="T44" s="51"/>
      <c r="U44" s="51"/>
      <c r="V44" s="51"/>
      <c r="W44" s="51"/>
    </row>
    <row r="45" spans="1:23" s="48" customFormat="1" ht="12.75" customHeight="1" x14ac:dyDescent="0.25">
      <c r="A45" s="38"/>
      <c r="B45" s="38"/>
      <c r="C45" s="38"/>
      <c r="D45" s="56"/>
      <c r="E45" s="38"/>
      <c r="F45" s="40"/>
      <c r="G45" s="52"/>
      <c r="H45" s="38"/>
      <c r="I45" s="56"/>
      <c r="J45" s="38"/>
      <c r="K45" s="45"/>
      <c r="L45" s="51"/>
      <c r="M45" s="51"/>
      <c r="N45" s="51" t="s">
        <v>72</v>
      </c>
      <c r="O45" s="51" t="s">
        <v>71</v>
      </c>
      <c r="P45" s="57"/>
      <c r="Q45" s="51"/>
      <c r="R45" s="51"/>
      <c r="S45" s="51"/>
      <c r="T45" s="51"/>
      <c r="U45" s="51"/>
      <c r="V45" s="51"/>
      <c r="W45" s="51"/>
    </row>
    <row r="46" spans="1:23" s="48" customFormat="1" ht="12.75" customHeight="1" x14ac:dyDescent="0.25">
      <c r="A46" s="38"/>
      <c r="B46" s="38"/>
      <c r="C46" s="38"/>
      <c r="D46" s="38"/>
      <c r="E46" s="54"/>
      <c r="F46" s="40"/>
      <c r="G46" s="52"/>
      <c r="H46" s="38"/>
      <c r="I46" s="56"/>
      <c r="J46" s="38"/>
      <c r="K46" s="45"/>
      <c r="L46" s="51"/>
      <c r="M46" s="51">
        <v>3</v>
      </c>
      <c r="N46" s="51" t="s">
        <v>70</v>
      </c>
      <c r="O46" s="51" t="s">
        <v>69</v>
      </c>
      <c r="P46" s="51"/>
      <c r="Q46" s="51"/>
      <c r="R46" s="51"/>
      <c r="S46" s="51"/>
      <c r="T46" s="51"/>
      <c r="U46" s="51"/>
      <c r="V46" s="51"/>
      <c r="W46" s="51"/>
    </row>
    <row r="47" spans="1:23" s="48" customFormat="1" ht="12.75" customHeight="1" thickBot="1" x14ac:dyDescent="0.3">
      <c r="A47" s="38"/>
      <c r="B47" s="38"/>
      <c r="C47" s="44"/>
      <c r="D47" s="55"/>
      <c r="E47" s="54"/>
      <c r="F47" s="40"/>
      <c r="G47" s="52"/>
      <c r="H47" s="38"/>
      <c r="I47" s="38"/>
      <c r="J47" s="38"/>
      <c r="K47" s="45"/>
      <c r="L47" s="51"/>
      <c r="M47" s="51"/>
      <c r="N47" s="51" t="s">
        <v>68</v>
      </c>
      <c r="O47" s="51" t="s">
        <v>67</v>
      </c>
      <c r="P47" s="51"/>
      <c r="Q47" s="51"/>
      <c r="R47" s="51"/>
      <c r="S47" s="51"/>
      <c r="T47" s="51"/>
      <c r="U47" s="51"/>
      <c r="V47" s="51"/>
      <c r="W47" s="51"/>
    </row>
    <row r="48" spans="1:23" s="48" customFormat="1" ht="14.25" customHeight="1" x14ac:dyDescent="0.25">
      <c r="A48" s="38"/>
      <c r="B48" s="38"/>
      <c r="C48" s="44"/>
      <c r="D48" s="53" t="s">
        <v>66</v>
      </c>
      <c r="E48" s="38"/>
      <c r="F48" s="38"/>
      <c r="G48" s="52"/>
      <c r="H48" s="173" t="s">
        <v>65</v>
      </c>
      <c r="I48" s="173"/>
      <c r="J48" s="173"/>
      <c r="K48" s="45"/>
      <c r="L48" s="38"/>
      <c r="M48" s="51"/>
      <c r="N48" s="51">
        <v>4</v>
      </c>
      <c r="O48" s="51" t="s">
        <v>64</v>
      </c>
      <c r="P48" s="51" t="s">
        <v>63</v>
      </c>
      <c r="Q48" s="51"/>
      <c r="R48" s="51"/>
      <c r="S48" s="51"/>
      <c r="T48" s="51"/>
      <c r="U48" s="51"/>
      <c r="V48" s="51"/>
      <c r="W48" s="51"/>
    </row>
    <row r="49" spans="1:24" s="48" customFormat="1" x14ac:dyDescent="0.25">
      <c r="A49" s="38"/>
      <c r="B49" s="38"/>
      <c r="C49" s="44" t="s">
        <v>62</v>
      </c>
      <c r="D49" s="50"/>
      <c r="E49" s="38"/>
      <c r="F49" s="38"/>
      <c r="G49" s="49" t="s">
        <v>61</v>
      </c>
      <c r="H49" s="174" t="s">
        <v>60</v>
      </c>
      <c r="I49" s="174"/>
      <c r="J49" s="174"/>
      <c r="K49" s="45"/>
      <c r="L49" s="38"/>
      <c r="M49" s="38"/>
      <c r="N49" s="38"/>
      <c r="O49" s="38"/>
      <c r="P49" s="38"/>
      <c r="Q49" s="38"/>
      <c r="R49" s="38"/>
      <c r="S49" s="38"/>
      <c r="T49" s="38"/>
      <c r="U49" s="38"/>
      <c r="V49" s="38"/>
      <c r="W49" s="38"/>
      <c r="X49" s="37"/>
    </row>
    <row r="50" spans="1:24" x14ac:dyDescent="0.25">
      <c r="A50" s="38"/>
      <c r="B50" s="38"/>
      <c r="C50" s="44" t="s">
        <v>59</v>
      </c>
      <c r="D50" s="47"/>
      <c r="E50" s="38"/>
      <c r="F50" s="38"/>
      <c r="G50" s="46" t="s">
        <v>58</v>
      </c>
      <c r="H50" s="160" t="s">
        <v>57</v>
      </c>
      <c r="I50" s="160"/>
      <c r="J50" s="160"/>
      <c r="K50" s="45"/>
      <c r="L50" s="38"/>
      <c r="N50" s="39" t="s">
        <v>56</v>
      </c>
    </row>
    <row r="51" spans="1:24" ht="13.8" thickBot="1" x14ac:dyDescent="0.3">
      <c r="A51" s="38"/>
      <c r="B51" s="38"/>
      <c r="C51" s="44" t="s">
        <v>55</v>
      </c>
      <c r="D51" s="43"/>
      <c r="E51" s="38"/>
      <c r="F51" s="38"/>
      <c r="G51" s="42" t="s">
        <v>54</v>
      </c>
      <c r="H51" s="161" t="s">
        <v>53</v>
      </c>
      <c r="I51" s="161"/>
      <c r="J51" s="161"/>
      <c r="K51" s="41"/>
      <c r="L51" s="38"/>
      <c r="N51" s="39" t="s">
        <v>52</v>
      </c>
    </row>
    <row r="52" spans="1:24" ht="9.75" customHeight="1" thickTop="1" x14ac:dyDescent="0.25">
      <c r="A52" s="38"/>
      <c r="B52" s="38"/>
      <c r="C52" s="38"/>
      <c r="D52" s="38"/>
      <c r="E52" s="38"/>
      <c r="F52" s="38"/>
      <c r="G52" s="40"/>
      <c r="H52" s="40"/>
      <c r="I52" s="38"/>
      <c r="J52" s="38"/>
      <c r="K52" s="38"/>
      <c r="L52" s="38"/>
    </row>
    <row r="53" spans="1:24" ht="30.75" customHeight="1" x14ac:dyDescent="0.25"/>
    <row r="54" spans="1:24" ht="11.1" customHeight="1" x14ac:dyDescent="0.25">
      <c r="N54" s="39" t="str">
        <f>IF(N24=1,N57,N58)</f>
        <v>OK!</v>
      </c>
    </row>
    <row r="55" spans="1:24" ht="11.1" customHeight="1" x14ac:dyDescent="0.25">
      <c r="N55" s="39"/>
    </row>
    <row r="56" spans="1:24" ht="11.1" customHeight="1" x14ac:dyDescent="0.25">
      <c r="N56" s="39"/>
    </row>
    <row r="57" spans="1:24" ht="11.1" customHeight="1" x14ac:dyDescent="0.25">
      <c r="N57" s="39" t="str">
        <f>IF(Q39&lt;Q37,N44,IF(Q39&gt;R37,O48,N46))</f>
        <v>OK!</v>
      </c>
      <c r="R57" s="38" t="s">
        <v>51</v>
      </c>
    </row>
    <row r="58" spans="1:24" x14ac:dyDescent="0.25">
      <c r="N58" s="39" t="str">
        <f>IF(Q39&lt;Q37,N44,IF(Q39&gt;R37,O48,N59))</f>
        <v>OK!</v>
      </c>
      <c r="R58" s="38" t="s">
        <v>50</v>
      </c>
    </row>
    <row r="59" spans="1:24" x14ac:dyDescent="0.25">
      <c r="N59" s="39" t="str">
        <f>IF(F27&gt;R37,N47,N46)</f>
        <v>OK!</v>
      </c>
      <c r="R59" s="38" t="s">
        <v>50</v>
      </c>
    </row>
  </sheetData>
  <sheetProtection password="CCED" sheet="1" selectLockedCells="1"/>
  <mergeCells count="26">
    <mergeCell ref="E2:G2"/>
    <mergeCell ref="D4:G4"/>
    <mergeCell ref="E6:G6"/>
    <mergeCell ref="A8:L8"/>
    <mergeCell ref="G10:G11"/>
    <mergeCell ref="C13:I13"/>
    <mergeCell ref="A21:B21"/>
    <mergeCell ref="J21:L22"/>
    <mergeCell ref="A22:A23"/>
    <mergeCell ref="B22:B23"/>
    <mergeCell ref="E25:G25"/>
    <mergeCell ref="H25:I25"/>
    <mergeCell ref="B26:D26"/>
    <mergeCell ref="E27:E28"/>
    <mergeCell ref="F27:F28"/>
    <mergeCell ref="G27:I29"/>
    <mergeCell ref="B36:K37"/>
    <mergeCell ref="B40:K40"/>
    <mergeCell ref="H50:J50"/>
    <mergeCell ref="H51:J51"/>
    <mergeCell ref="G41:K41"/>
    <mergeCell ref="G42:K44"/>
    <mergeCell ref="A43:C43"/>
    <mergeCell ref="A44:C44"/>
    <mergeCell ref="H48:J48"/>
    <mergeCell ref="H49:J49"/>
  </mergeCells>
  <conditionalFormatting sqref="D2:G2 D4:G4 D6:G6 A43 E45:F47 D49:D51 G50:G52 H52">
    <cfRule type="cellIs" dxfId="6" priority="7" stopIfTrue="1" operator="notEqual">
      <formula>""</formula>
    </cfRule>
  </conditionalFormatting>
  <conditionalFormatting sqref="F15:F19 A24:B24 H49:J51">
    <cfRule type="cellIs" dxfId="5" priority="4" stopIfTrue="1" operator="equal">
      <formula>""</formula>
    </cfRule>
  </conditionalFormatting>
  <conditionalFormatting sqref="G26">
    <cfRule type="cellIs" dxfId="4" priority="5" stopIfTrue="1" operator="equal">
      <formula>"NÃO OK"</formula>
    </cfRule>
    <cfRule type="cellIs" dxfId="3" priority="6" stopIfTrue="1" operator="equal">
      <formula>"OK"</formula>
    </cfRule>
  </conditionalFormatting>
  <conditionalFormatting sqref="G27:I29">
    <cfRule type="cellIs" dxfId="2" priority="1" stopIfTrue="1" operator="equal">
      <formula>"OK! Percentual do BDI quando calculado sem desoneração atende ao limite estipulado pelo Acórdão TCU 2.622/2013."</formula>
    </cfRule>
    <cfRule type="cellIs" dxfId="1" priority="2" stopIfTrue="1" operator="equal">
      <formula>"OK!"</formula>
    </cfRule>
    <cfRule type="cellIs" dxfId="0" priority="3" stopIfTrue="1" operator="notEqual">
      <formula>"OK!"</formula>
    </cfRule>
  </conditionalFormatting>
  <dataValidations disablePrompts="1" count="3">
    <dataValidation type="custom" allowBlank="1" showInputMessage="1" showErrorMessage="1" sqref="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xr:uid="{A1C269BC-B48C-48FB-87C6-06D40EB88CB9}">
      <formula1>A1</formula1>
    </dataValidation>
    <dataValidation allowBlank="1" showInputMessage="1" showErrorMessage="1" promptTitle="Data" prompt="Indique a data da assinatura do documento" sqref="A43 IW43 SS43 ACO43 AMK43 AWG43 BGC43 BPY43 BZU43 CJQ43 CTM43 DDI43 DNE43 DXA43 EGW43 EQS43 FAO43 FKK43 FUG43 GEC43 GNY43 GXU43 HHQ43 HRM43 IBI43 ILE43 IVA43 JEW43 JOS43 JYO43 KIK43 KSG43 LCC43 LLY43 LVU43 MFQ43 MPM43 MZI43 NJE43 NTA43 OCW43 OMS43 OWO43 PGK43 PQG43 QAC43 QJY43 QTU43 RDQ43 RNM43 RXI43 SHE43 SRA43 TAW43 TKS43 TUO43 UEK43 UOG43 UYC43 VHY43 VRU43 WBQ43 WLM43 WVI43 A65579 IW65579 SS65579 ACO65579 AMK65579 AWG65579 BGC65579 BPY65579 BZU65579 CJQ65579 CTM65579 DDI65579 DNE65579 DXA65579 EGW65579 EQS65579 FAO65579 FKK65579 FUG65579 GEC65579 GNY65579 GXU65579 HHQ65579 HRM65579 IBI65579 ILE65579 IVA65579 JEW65579 JOS65579 JYO65579 KIK65579 KSG65579 LCC65579 LLY65579 LVU65579 MFQ65579 MPM65579 MZI65579 NJE65579 NTA65579 OCW65579 OMS65579 OWO65579 PGK65579 PQG65579 QAC65579 QJY65579 QTU65579 RDQ65579 RNM65579 RXI65579 SHE65579 SRA65579 TAW65579 TKS65579 TUO65579 UEK65579 UOG65579 UYC65579 VHY65579 VRU65579 WBQ65579 WLM65579 WVI65579 A131115 IW131115 SS131115 ACO131115 AMK131115 AWG131115 BGC131115 BPY131115 BZU131115 CJQ131115 CTM131115 DDI131115 DNE131115 DXA131115 EGW131115 EQS131115 FAO131115 FKK131115 FUG131115 GEC131115 GNY131115 GXU131115 HHQ131115 HRM131115 IBI131115 ILE131115 IVA131115 JEW131115 JOS131115 JYO131115 KIK131115 KSG131115 LCC131115 LLY131115 LVU131115 MFQ131115 MPM131115 MZI131115 NJE131115 NTA131115 OCW131115 OMS131115 OWO131115 PGK131115 PQG131115 QAC131115 QJY131115 QTU131115 RDQ131115 RNM131115 RXI131115 SHE131115 SRA131115 TAW131115 TKS131115 TUO131115 UEK131115 UOG131115 UYC131115 VHY131115 VRU131115 WBQ131115 WLM131115 WVI131115 A196651 IW196651 SS196651 ACO196651 AMK196651 AWG196651 BGC196651 BPY196651 BZU196651 CJQ196651 CTM196651 DDI196651 DNE196651 DXA196651 EGW196651 EQS196651 FAO196651 FKK196651 FUG196651 GEC196651 GNY196651 GXU196651 HHQ196651 HRM196651 IBI196651 ILE196651 IVA196651 JEW196651 JOS196651 JYO196651 KIK196651 KSG196651 LCC196651 LLY196651 LVU196651 MFQ196651 MPM196651 MZI196651 NJE196651 NTA196651 OCW196651 OMS196651 OWO196651 PGK196651 PQG196651 QAC196651 QJY196651 QTU196651 RDQ196651 RNM196651 RXI196651 SHE196651 SRA196651 TAW196651 TKS196651 TUO196651 UEK196651 UOG196651 UYC196651 VHY196651 VRU196651 WBQ196651 WLM196651 WVI196651 A262187 IW262187 SS262187 ACO262187 AMK262187 AWG262187 BGC262187 BPY262187 BZU262187 CJQ262187 CTM262187 DDI262187 DNE262187 DXA262187 EGW262187 EQS262187 FAO262187 FKK262187 FUG262187 GEC262187 GNY262187 GXU262187 HHQ262187 HRM262187 IBI262187 ILE262187 IVA262187 JEW262187 JOS262187 JYO262187 KIK262187 KSG262187 LCC262187 LLY262187 LVU262187 MFQ262187 MPM262187 MZI262187 NJE262187 NTA262187 OCW262187 OMS262187 OWO262187 PGK262187 PQG262187 QAC262187 QJY262187 QTU262187 RDQ262187 RNM262187 RXI262187 SHE262187 SRA262187 TAW262187 TKS262187 TUO262187 UEK262187 UOG262187 UYC262187 VHY262187 VRU262187 WBQ262187 WLM262187 WVI262187 A327723 IW327723 SS327723 ACO327723 AMK327723 AWG327723 BGC327723 BPY327723 BZU327723 CJQ327723 CTM327723 DDI327723 DNE327723 DXA327723 EGW327723 EQS327723 FAO327723 FKK327723 FUG327723 GEC327723 GNY327723 GXU327723 HHQ327723 HRM327723 IBI327723 ILE327723 IVA327723 JEW327723 JOS327723 JYO327723 KIK327723 KSG327723 LCC327723 LLY327723 LVU327723 MFQ327723 MPM327723 MZI327723 NJE327723 NTA327723 OCW327723 OMS327723 OWO327723 PGK327723 PQG327723 QAC327723 QJY327723 QTU327723 RDQ327723 RNM327723 RXI327723 SHE327723 SRA327723 TAW327723 TKS327723 TUO327723 UEK327723 UOG327723 UYC327723 VHY327723 VRU327723 WBQ327723 WLM327723 WVI327723 A393259 IW393259 SS393259 ACO393259 AMK393259 AWG393259 BGC393259 BPY393259 BZU393259 CJQ393259 CTM393259 DDI393259 DNE393259 DXA393259 EGW393259 EQS393259 FAO393259 FKK393259 FUG393259 GEC393259 GNY393259 GXU393259 HHQ393259 HRM393259 IBI393259 ILE393259 IVA393259 JEW393259 JOS393259 JYO393259 KIK393259 KSG393259 LCC393259 LLY393259 LVU393259 MFQ393259 MPM393259 MZI393259 NJE393259 NTA393259 OCW393259 OMS393259 OWO393259 PGK393259 PQG393259 QAC393259 QJY393259 QTU393259 RDQ393259 RNM393259 RXI393259 SHE393259 SRA393259 TAW393259 TKS393259 TUO393259 UEK393259 UOG393259 UYC393259 VHY393259 VRU393259 WBQ393259 WLM393259 WVI393259 A458795 IW458795 SS458795 ACO458795 AMK458795 AWG458795 BGC458795 BPY458795 BZU458795 CJQ458795 CTM458795 DDI458795 DNE458795 DXA458795 EGW458795 EQS458795 FAO458795 FKK458795 FUG458795 GEC458795 GNY458795 GXU458795 HHQ458795 HRM458795 IBI458795 ILE458795 IVA458795 JEW458795 JOS458795 JYO458795 KIK458795 KSG458795 LCC458795 LLY458795 LVU458795 MFQ458795 MPM458795 MZI458795 NJE458795 NTA458795 OCW458795 OMS458795 OWO458795 PGK458795 PQG458795 QAC458795 QJY458795 QTU458795 RDQ458795 RNM458795 RXI458795 SHE458795 SRA458795 TAW458795 TKS458795 TUO458795 UEK458795 UOG458795 UYC458795 VHY458795 VRU458795 WBQ458795 WLM458795 WVI458795 A524331 IW524331 SS524331 ACO524331 AMK524331 AWG524331 BGC524331 BPY524331 BZU524331 CJQ524331 CTM524331 DDI524331 DNE524331 DXA524331 EGW524331 EQS524331 FAO524331 FKK524331 FUG524331 GEC524331 GNY524331 GXU524331 HHQ524331 HRM524331 IBI524331 ILE524331 IVA524331 JEW524331 JOS524331 JYO524331 KIK524331 KSG524331 LCC524331 LLY524331 LVU524331 MFQ524331 MPM524331 MZI524331 NJE524331 NTA524331 OCW524331 OMS524331 OWO524331 PGK524331 PQG524331 QAC524331 QJY524331 QTU524331 RDQ524331 RNM524331 RXI524331 SHE524331 SRA524331 TAW524331 TKS524331 TUO524331 UEK524331 UOG524331 UYC524331 VHY524331 VRU524331 WBQ524331 WLM524331 WVI524331 A589867 IW589867 SS589867 ACO589867 AMK589867 AWG589867 BGC589867 BPY589867 BZU589867 CJQ589867 CTM589867 DDI589867 DNE589867 DXA589867 EGW589867 EQS589867 FAO589867 FKK589867 FUG589867 GEC589867 GNY589867 GXU589867 HHQ589867 HRM589867 IBI589867 ILE589867 IVA589867 JEW589867 JOS589867 JYO589867 KIK589867 KSG589867 LCC589867 LLY589867 LVU589867 MFQ589867 MPM589867 MZI589867 NJE589867 NTA589867 OCW589867 OMS589867 OWO589867 PGK589867 PQG589867 QAC589867 QJY589867 QTU589867 RDQ589867 RNM589867 RXI589867 SHE589867 SRA589867 TAW589867 TKS589867 TUO589867 UEK589867 UOG589867 UYC589867 VHY589867 VRU589867 WBQ589867 WLM589867 WVI589867 A655403 IW655403 SS655403 ACO655403 AMK655403 AWG655403 BGC655403 BPY655403 BZU655403 CJQ655403 CTM655403 DDI655403 DNE655403 DXA655403 EGW655403 EQS655403 FAO655403 FKK655403 FUG655403 GEC655403 GNY655403 GXU655403 HHQ655403 HRM655403 IBI655403 ILE655403 IVA655403 JEW655403 JOS655403 JYO655403 KIK655403 KSG655403 LCC655403 LLY655403 LVU655403 MFQ655403 MPM655403 MZI655403 NJE655403 NTA655403 OCW655403 OMS655403 OWO655403 PGK655403 PQG655403 QAC655403 QJY655403 QTU655403 RDQ655403 RNM655403 RXI655403 SHE655403 SRA655403 TAW655403 TKS655403 TUO655403 UEK655403 UOG655403 UYC655403 VHY655403 VRU655403 WBQ655403 WLM655403 WVI655403 A720939 IW720939 SS720939 ACO720939 AMK720939 AWG720939 BGC720939 BPY720939 BZU720939 CJQ720939 CTM720939 DDI720939 DNE720939 DXA720939 EGW720939 EQS720939 FAO720939 FKK720939 FUG720939 GEC720939 GNY720939 GXU720939 HHQ720939 HRM720939 IBI720939 ILE720939 IVA720939 JEW720939 JOS720939 JYO720939 KIK720939 KSG720939 LCC720939 LLY720939 LVU720939 MFQ720939 MPM720939 MZI720939 NJE720939 NTA720939 OCW720939 OMS720939 OWO720939 PGK720939 PQG720939 QAC720939 QJY720939 QTU720939 RDQ720939 RNM720939 RXI720939 SHE720939 SRA720939 TAW720939 TKS720939 TUO720939 UEK720939 UOG720939 UYC720939 VHY720939 VRU720939 WBQ720939 WLM720939 WVI720939 A786475 IW786475 SS786475 ACO786475 AMK786475 AWG786475 BGC786475 BPY786475 BZU786475 CJQ786475 CTM786475 DDI786475 DNE786475 DXA786475 EGW786475 EQS786475 FAO786475 FKK786475 FUG786475 GEC786475 GNY786475 GXU786475 HHQ786475 HRM786475 IBI786475 ILE786475 IVA786475 JEW786475 JOS786475 JYO786475 KIK786475 KSG786475 LCC786475 LLY786475 LVU786475 MFQ786475 MPM786475 MZI786475 NJE786475 NTA786475 OCW786475 OMS786475 OWO786475 PGK786475 PQG786475 QAC786475 QJY786475 QTU786475 RDQ786475 RNM786475 RXI786475 SHE786475 SRA786475 TAW786475 TKS786475 TUO786475 UEK786475 UOG786475 UYC786475 VHY786475 VRU786475 WBQ786475 WLM786475 WVI786475 A852011 IW852011 SS852011 ACO852011 AMK852011 AWG852011 BGC852011 BPY852011 BZU852011 CJQ852011 CTM852011 DDI852011 DNE852011 DXA852011 EGW852011 EQS852011 FAO852011 FKK852011 FUG852011 GEC852011 GNY852011 GXU852011 HHQ852011 HRM852011 IBI852011 ILE852011 IVA852011 JEW852011 JOS852011 JYO852011 KIK852011 KSG852011 LCC852011 LLY852011 LVU852011 MFQ852011 MPM852011 MZI852011 NJE852011 NTA852011 OCW852011 OMS852011 OWO852011 PGK852011 PQG852011 QAC852011 QJY852011 QTU852011 RDQ852011 RNM852011 RXI852011 SHE852011 SRA852011 TAW852011 TKS852011 TUO852011 UEK852011 UOG852011 UYC852011 VHY852011 VRU852011 WBQ852011 WLM852011 WVI852011 A917547 IW917547 SS917547 ACO917547 AMK917547 AWG917547 BGC917547 BPY917547 BZU917547 CJQ917547 CTM917547 DDI917547 DNE917547 DXA917547 EGW917547 EQS917547 FAO917547 FKK917547 FUG917547 GEC917547 GNY917547 GXU917547 HHQ917547 HRM917547 IBI917547 ILE917547 IVA917547 JEW917547 JOS917547 JYO917547 KIK917547 KSG917547 LCC917547 LLY917547 LVU917547 MFQ917547 MPM917547 MZI917547 NJE917547 NTA917547 OCW917547 OMS917547 OWO917547 PGK917547 PQG917547 QAC917547 QJY917547 QTU917547 RDQ917547 RNM917547 RXI917547 SHE917547 SRA917547 TAW917547 TKS917547 TUO917547 UEK917547 UOG917547 UYC917547 VHY917547 VRU917547 WBQ917547 WLM917547 WVI917547 A983083 IW983083 SS983083 ACO983083 AMK983083 AWG983083 BGC983083 BPY983083 BZU983083 CJQ983083 CTM983083 DDI983083 DNE983083 DXA983083 EGW983083 EQS983083 FAO983083 FKK983083 FUG983083 GEC983083 GNY983083 GXU983083 HHQ983083 HRM983083 IBI983083 ILE983083 IVA983083 JEW983083 JOS983083 JYO983083 KIK983083 KSG983083 LCC983083 LLY983083 LVU983083 MFQ983083 MPM983083 MZI983083 NJE983083 NTA983083 OCW983083 OMS983083 OWO983083 PGK983083 PQG983083 QAC983083 QJY983083 QTU983083 RDQ983083 RNM983083 RXI983083 SHE983083 SRA983083 TAW983083 TKS983083 TUO983083 UEK983083 UOG983083 UYC983083 VHY983083 VRU983083 WBQ983083 WLM983083 WVI983083" xr:uid="{F105BFE6-FECB-48F1-B771-664B12158AEB}"/>
    <dataValidation type="list" allowBlank="1" showInputMessage="1" showErrorMessage="1" promptTitle="Escolha" prompt="o tipo de obra" sqref="D11 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D65547 IZ65547 SV65547 ACR65547 AMN65547 AWJ65547 BGF65547 BQB65547 BZX65547 CJT65547 CTP65547 DDL65547 DNH65547 DXD65547 EGZ65547 EQV65547 FAR65547 FKN65547 FUJ65547 GEF65547 GOB65547 GXX65547 HHT65547 HRP65547 IBL65547 ILH65547 IVD65547 JEZ65547 JOV65547 JYR65547 KIN65547 KSJ65547 LCF65547 LMB65547 LVX65547 MFT65547 MPP65547 MZL65547 NJH65547 NTD65547 OCZ65547 OMV65547 OWR65547 PGN65547 PQJ65547 QAF65547 QKB65547 QTX65547 RDT65547 RNP65547 RXL65547 SHH65547 SRD65547 TAZ65547 TKV65547 TUR65547 UEN65547 UOJ65547 UYF65547 VIB65547 VRX65547 WBT65547 WLP65547 WVL65547 D131083 IZ131083 SV131083 ACR131083 AMN131083 AWJ131083 BGF131083 BQB131083 BZX131083 CJT131083 CTP131083 DDL131083 DNH131083 DXD131083 EGZ131083 EQV131083 FAR131083 FKN131083 FUJ131083 GEF131083 GOB131083 GXX131083 HHT131083 HRP131083 IBL131083 ILH131083 IVD131083 JEZ131083 JOV131083 JYR131083 KIN131083 KSJ131083 LCF131083 LMB131083 LVX131083 MFT131083 MPP131083 MZL131083 NJH131083 NTD131083 OCZ131083 OMV131083 OWR131083 PGN131083 PQJ131083 QAF131083 QKB131083 QTX131083 RDT131083 RNP131083 RXL131083 SHH131083 SRD131083 TAZ131083 TKV131083 TUR131083 UEN131083 UOJ131083 UYF131083 VIB131083 VRX131083 WBT131083 WLP131083 WVL131083 D196619 IZ196619 SV196619 ACR196619 AMN196619 AWJ196619 BGF196619 BQB196619 BZX196619 CJT196619 CTP196619 DDL196619 DNH196619 DXD196619 EGZ196619 EQV196619 FAR196619 FKN196619 FUJ196619 GEF196619 GOB196619 GXX196619 HHT196619 HRP196619 IBL196619 ILH196619 IVD196619 JEZ196619 JOV196619 JYR196619 KIN196619 KSJ196619 LCF196619 LMB196619 LVX196619 MFT196619 MPP196619 MZL196619 NJH196619 NTD196619 OCZ196619 OMV196619 OWR196619 PGN196619 PQJ196619 QAF196619 QKB196619 QTX196619 RDT196619 RNP196619 RXL196619 SHH196619 SRD196619 TAZ196619 TKV196619 TUR196619 UEN196619 UOJ196619 UYF196619 VIB196619 VRX196619 WBT196619 WLP196619 WVL196619 D262155 IZ262155 SV262155 ACR262155 AMN262155 AWJ262155 BGF262155 BQB262155 BZX262155 CJT262155 CTP262155 DDL262155 DNH262155 DXD262155 EGZ262155 EQV262155 FAR262155 FKN262155 FUJ262155 GEF262155 GOB262155 GXX262155 HHT262155 HRP262155 IBL262155 ILH262155 IVD262155 JEZ262155 JOV262155 JYR262155 KIN262155 KSJ262155 LCF262155 LMB262155 LVX262155 MFT262155 MPP262155 MZL262155 NJH262155 NTD262155 OCZ262155 OMV262155 OWR262155 PGN262155 PQJ262155 QAF262155 QKB262155 QTX262155 RDT262155 RNP262155 RXL262155 SHH262155 SRD262155 TAZ262155 TKV262155 TUR262155 UEN262155 UOJ262155 UYF262155 VIB262155 VRX262155 WBT262155 WLP262155 WVL262155 D327691 IZ327691 SV327691 ACR327691 AMN327691 AWJ327691 BGF327691 BQB327691 BZX327691 CJT327691 CTP327691 DDL327691 DNH327691 DXD327691 EGZ327691 EQV327691 FAR327691 FKN327691 FUJ327691 GEF327691 GOB327691 GXX327691 HHT327691 HRP327691 IBL327691 ILH327691 IVD327691 JEZ327691 JOV327691 JYR327691 KIN327691 KSJ327691 LCF327691 LMB327691 LVX327691 MFT327691 MPP327691 MZL327691 NJH327691 NTD327691 OCZ327691 OMV327691 OWR327691 PGN327691 PQJ327691 QAF327691 QKB327691 QTX327691 RDT327691 RNP327691 RXL327691 SHH327691 SRD327691 TAZ327691 TKV327691 TUR327691 UEN327691 UOJ327691 UYF327691 VIB327691 VRX327691 WBT327691 WLP327691 WVL327691 D393227 IZ393227 SV393227 ACR393227 AMN393227 AWJ393227 BGF393227 BQB393227 BZX393227 CJT393227 CTP393227 DDL393227 DNH393227 DXD393227 EGZ393227 EQV393227 FAR393227 FKN393227 FUJ393227 GEF393227 GOB393227 GXX393227 HHT393227 HRP393227 IBL393227 ILH393227 IVD393227 JEZ393227 JOV393227 JYR393227 KIN393227 KSJ393227 LCF393227 LMB393227 LVX393227 MFT393227 MPP393227 MZL393227 NJH393227 NTD393227 OCZ393227 OMV393227 OWR393227 PGN393227 PQJ393227 QAF393227 QKB393227 QTX393227 RDT393227 RNP393227 RXL393227 SHH393227 SRD393227 TAZ393227 TKV393227 TUR393227 UEN393227 UOJ393227 UYF393227 VIB393227 VRX393227 WBT393227 WLP393227 WVL393227 D458763 IZ458763 SV458763 ACR458763 AMN458763 AWJ458763 BGF458763 BQB458763 BZX458763 CJT458763 CTP458763 DDL458763 DNH458763 DXD458763 EGZ458763 EQV458763 FAR458763 FKN458763 FUJ458763 GEF458763 GOB458763 GXX458763 HHT458763 HRP458763 IBL458763 ILH458763 IVD458763 JEZ458763 JOV458763 JYR458763 KIN458763 KSJ458763 LCF458763 LMB458763 LVX458763 MFT458763 MPP458763 MZL458763 NJH458763 NTD458763 OCZ458763 OMV458763 OWR458763 PGN458763 PQJ458763 QAF458763 QKB458763 QTX458763 RDT458763 RNP458763 RXL458763 SHH458763 SRD458763 TAZ458763 TKV458763 TUR458763 UEN458763 UOJ458763 UYF458763 VIB458763 VRX458763 WBT458763 WLP458763 WVL458763 D524299 IZ524299 SV524299 ACR524299 AMN524299 AWJ524299 BGF524299 BQB524299 BZX524299 CJT524299 CTP524299 DDL524299 DNH524299 DXD524299 EGZ524299 EQV524299 FAR524299 FKN524299 FUJ524299 GEF524299 GOB524299 GXX524299 HHT524299 HRP524299 IBL524299 ILH524299 IVD524299 JEZ524299 JOV524299 JYR524299 KIN524299 KSJ524299 LCF524299 LMB524299 LVX524299 MFT524299 MPP524299 MZL524299 NJH524299 NTD524299 OCZ524299 OMV524299 OWR524299 PGN524299 PQJ524299 QAF524299 QKB524299 QTX524299 RDT524299 RNP524299 RXL524299 SHH524299 SRD524299 TAZ524299 TKV524299 TUR524299 UEN524299 UOJ524299 UYF524299 VIB524299 VRX524299 WBT524299 WLP524299 WVL524299 D589835 IZ589835 SV589835 ACR589835 AMN589835 AWJ589835 BGF589835 BQB589835 BZX589835 CJT589835 CTP589835 DDL589835 DNH589835 DXD589835 EGZ589835 EQV589835 FAR589835 FKN589835 FUJ589835 GEF589835 GOB589835 GXX589835 HHT589835 HRP589835 IBL589835 ILH589835 IVD589835 JEZ589835 JOV589835 JYR589835 KIN589835 KSJ589835 LCF589835 LMB589835 LVX589835 MFT589835 MPP589835 MZL589835 NJH589835 NTD589835 OCZ589835 OMV589835 OWR589835 PGN589835 PQJ589835 QAF589835 QKB589835 QTX589835 RDT589835 RNP589835 RXL589835 SHH589835 SRD589835 TAZ589835 TKV589835 TUR589835 UEN589835 UOJ589835 UYF589835 VIB589835 VRX589835 WBT589835 WLP589835 WVL589835 D655371 IZ655371 SV655371 ACR655371 AMN655371 AWJ655371 BGF655371 BQB655371 BZX655371 CJT655371 CTP655371 DDL655371 DNH655371 DXD655371 EGZ655371 EQV655371 FAR655371 FKN655371 FUJ655371 GEF655371 GOB655371 GXX655371 HHT655371 HRP655371 IBL655371 ILH655371 IVD655371 JEZ655371 JOV655371 JYR655371 KIN655371 KSJ655371 LCF655371 LMB655371 LVX655371 MFT655371 MPP655371 MZL655371 NJH655371 NTD655371 OCZ655371 OMV655371 OWR655371 PGN655371 PQJ655371 QAF655371 QKB655371 QTX655371 RDT655371 RNP655371 RXL655371 SHH655371 SRD655371 TAZ655371 TKV655371 TUR655371 UEN655371 UOJ655371 UYF655371 VIB655371 VRX655371 WBT655371 WLP655371 WVL655371 D720907 IZ720907 SV720907 ACR720907 AMN720907 AWJ720907 BGF720907 BQB720907 BZX720907 CJT720907 CTP720907 DDL720907 DNH720907 DXD720907 EGZ720907 EQV720907 FAR720907 FKN720907 FUJ720907 GEF720907 GOB720907 GXX720907 HHT720907 HRP720907 IBL720907 ILH720907 IVD720907 JEZ720907 JOV720907 JYR720907 KIN720907 KSJ720907 LCF720907 LMB720907 LVX720907 MFT720907 MPP720907 MZL720907 NJH720907 NTD720907 OCZ720907 OMV720907 OWR720907 PGN720907 PQJ720907 QAF720907 QKB720907 QTX720907 RDT720907 RNP720907 RXL720907 SHH720907 SRD720907 TAZ720907 TKV720907 TUR720907 UEN720907 UOJ720907 UYF720907 VIB720907 VRX720907 WBT720907 WLP720907 WVL720907 D786443 IZ786443 SV786443 ACR786443 AMN786443 AWJ786443 BGF786443 BQB786443 BZX786443 CJT786443 CTP786443 DDL786443 DNH786443 DXD786443 EGZ786443 EQV786443 FAR786443 FKN786443 FUJ786443 GEF786443 GOB786443 GXX786443 HHT786443 HRP786443 IBL786443 ILH786443 IVD786443 JEZ786443 JOV786443 JYR786443 KIN786443 KSJ786443 LCF786443 LMB786443 LVX786443 MFT786443 MPP786443 MZL786443 NJH786443 NTD786443 OCZ786443 OMV786443 OWR786443 PGN786443 PQJ786443 QAF786443 QKB786443 QTX786443 RDT786443 RNP786443 RXL786443 SHH786443 SRD786443 TAZ786443 TKV786443 TUR786443 UEN786443 UOJ786443 UYF786443 VIB786443 VRX786443 WBT786443 WLP786443 WVL786443 D851979 IZ851979 SV851979 ACR851979 AMN851979 AWJ851979 BGF851979 BQB851979 BZX851979 CJT851979 CTP851979 DDL851979 DNH851979 DXD851979 EGZ851979 EQV851979 FAR851979 FKN851979 FUJ851979 GEF851979 GOB851979 GXX851979 HHT851979 HRP851979 IBL851979 ILH851979 IVD851979 JEZ851979 JOV851979 JYR851979 KIN851979 KSJ851979 LCF851979 LMB851979 LVX851979 MFT851979 MPP851979 MZL851979 NJH851979 NTD851979 OCZ851979 OMV851979 OWR851979 PGN851979 PQJ851979 QAF851979 QKB851979 QTX851979 RDT851979 RNP851979 RXL851979 SHH851979 SRD851979 TAZ851979 TKV851979 TUR851979 UEN851979 UOJ851979 UYF851979 VIB851979 VRX851979 WBT851979 WLP851979 WVL851979 D917515 IZ917515 SV917515 ACR917515 AMN917515 AWJ917515 BGF917515 BQB917515 BZX917515 CJT917515 CTP917515 DDL917515 DNH917515 DXD917515 EGZ917515 EQV917515 FAR917515 FKN917515 FUJ917515 GEF917515 GOB917515 GXX917515 HHT917515 HRP917515 IBL917515 ILH917515 IVD917515 JEZ917515 JOV917515 JYR917515 KIN917515 KSJ917515 LCF917515 LMB917515 LVX917515 MFT917515 MPP917515 MZL917515 NJH917515 NTD917515 OCZ917515 OMV917515 OWR917515 PGN917515 PQJ917515 QAF917515 QKB917515 QTX917515 RDT917515 RNP917515 RXL917515 SHH917515 SRD917515 TAZ917515 TKV917515 TUR917515 UEN917515 UOJ917515 UYF917515 VIB917515 VRX917515 WBT917515 WLP917515 WVL917515 D983051 IZ983051 SV983051 ACR983051 AMN983051 AWJ983051 BGF983051 BQB983051 BZX983051 CJT983051 CTP983051 DDL983051 DNH983051 DXD983051 EGZ983051 EQV983051 FAR983051 FKN983051 FUJ983051 GEF983051 GOB983051 GXX983051 HHT983051 HRP983051 IBL983051 ILH983051 IVD983051 JEZ983051 JOV983051 JYR983051 KIN983051 KSJ983051 LCF983051 LMB983051 LVX983051 MFT983051 MPP983051 MZL983051 NJH983051 NTD983051 OCZ983051 OMV983051 OWR983051 PGN983051 PQJ983051 QAF983051 QKB983051 QTX983051 RDT983051 RNP983051 RXL983051 SHH983051 SRD983051 TAZ983051 TKV983051 TUR983051 UEN983051 UOJ983051 UYF983051 VIB983051 VRX983051 WBT983051 WLP983051 WVL983051" xr:uid="{5403E1C6-2B64-472A-99D1-A05B8F7AAD4D}">
      <formula1>$N$10:$N$14</formula1>
    </dataValidation>
  </dataValidations>
  <printOptions horizontalCentered="1"/>
  <pageMargins left="0.98425196850393704" right="0.51181102362204722" top="0.78740157480314965" bottom="0.78740157480314965" header="0.31496062992125984" footer="0.31496062992125984"/>
  <pageSetup paperSize="9" scale="69"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locked="0" defaultSize="0" autoLine="0" autoPict="0" altText="teste">
                <anchor moveWithCells="1">
                  <from>
                    <xdr:col>3</xdr:col>
                    <xdr:colOff>30480</xdr:colOff>
                    <xdr:row>10</xdr:row>
                    <xdr:rowOff>7620</xdr:rowOff>
                  </from>
                  <to>
                    <xdr:col>5</xdr:col>
                    <xdr:colOff>487680</xdr:colOff>
                    <xdr:row>11</xdr:row>
                    <xdr:rowOff>45720</xdr:rowOff>
                  </to>
                </anchor>
              </controlPr>
            </control>
          </mc:Choice>
        </mc:AlternateContent>
        <mc:AlternateContent xmlns:mc="http://schemas.openxmlformats.org/markup-compatibility/2006">
          <mc:Choice Requires="x14">
            <control shapeId="3074" r:id="rId5" name="Check Box 2">
              <controlPr locked="0" defaultSize="0" autoFill="0" autoLine="0" autoPict="0">
                <anchor moveWithCells="1">
                  <from>
                    <xdr:col>9</xdr:col>
                    <xdr:colOff>22860</xdr:colOff>
                    <xdr:row>21</xdr:row>
                    <xdr:rowOff>144780</xdr:rowOff>
                  </from>
                  <to>
                    <xdr:col>11</xdr:col>
                    <xdr:colOff>822960</xdr:colOff>
                    <xdr:row>23</xdr:row>
                    <xdr:rowOff>45720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ORÇAMENTO</vt:lpstr>
      <vt:lpstr>CRONOGRAMA</vt:lpstr>
      <vt:lpstr>BDI</vt:lpstr>
      <vt:lpstr>BDI!Area_de_impressao</vt:lpstr>
      <vt:lpstr>CRONOGRAMA!Area_de_impressao</vt:lpstr>
      <vt:lpstr>ORÇAMENTO!Area_de_impressao</vt:lpstr>
      <vt:lpstr>BDI!matriz</vt:lpstr>
      <vt:lpstr>BDI!matriz2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User</cp:lastModifiedBy>
  <cp:lastPrinted>2024-11-14T12:38:19Z</cp:lastPrinted>
  <dcterms:created xsi:type="dcterms:W3CDTF">2022-06-07T16:35:26Z</dcterms:created>
  <dcterms:modified xsi:type="dcterms:W3CDTF">2024-11-21T12:39:06Z</dcterms:modified>
</cp:coreProperties>
</file>