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ic\Desktop\PAVIMENTAÇÃO 12 DE MAIO\ORÇAMENTO\"/>
    </mc:Choice>
  </mc:AlternateContent>
  <bookViews>
    <workbookView xWindow="0" yWindow="0" windowWidth="28800" windowHeight="12315" tabRatio="920" activeTab="1"/>
  </bookViews>
  <sheets>
    <sheet name="ORÇAMENTO" sheetId="4" r:id="rId1"/>
    <sheet name="CRONOG" sheetId="37" r:id="rId2"/>
    <sheet name="QCI" sheetId="3" state="hidden" r:id="rId3"/>
    <sheet name="CRONOGRAMA" sheetId="35" state="hidden" r:id="rId4"/>
    <sheet name="TERRAPL." sheetId="21" state="hidden" r:id="rId5"/>
    <sheet name="DIM. DREN." sheetId="19" state="hidden" r:id="rId6"/>
    <sheet name="BACIAS" sheetId="20" state="hidden" r:id="rId7"/>
    <sheet name="DRENAGEM" sheetId="31" state="hidden" r:id="rId8"/>
    <sheet name="PAVIM." sheetId="7" state="hidden" r:id="rId9"/>
    <sheet name="OBRAS COMPLEMENTARES" sheetId="36" state="hidden" r:id="rId10"/>
    <sheet name="SINALIZAÇÃO" sheetId="33" state="hidden" r:id="rId11"/>
    <sheet name="BDI" sheetId="8" r:id="rId12"/>
    <sheet name="COMP. SINAPI" sheetId="28" state="hidden" r:id="rId13"/>
    <sheet name="COTAÇÃO" sheetId="30" state="hidden" r:id="rId14"/>
    <sheet name="REAJUSTE" sheetId="34" state="hidden" r:id="rId15"/>
    <sheet name="MAT. BET." sheetId="14" state="hidden" r:id="rId16"/>
  </sheets>
  <externalReferences>
    <externalReference r:id="rId17"/>
    <externalReference r:id="rId18"/>
  </externalReferences>
  <definedNames>
    <definedName name="_xlnm._FilterDatabase" localSheetId="4" hidden="1">TERRAPL.!#REF!</definedName>
    <definedName name="_Toc328556484" localSheetId="14">REAJUSTE!#REF!</definedName>
    <definedName name="_xlnm.Print_Area" localSheetId="11">BDI!$A$1:$J$50</definedName>
    <definedName name="_xlnm.Print_Area" localSheetId="12">'COMP. SINAPI'!$A$1:$F$30</definedName>
    <definedName name="_xlnm.Print_Area" localSheetId="13">COTAÇÃO!$A$1:$F$135</definedName>
    <definedName name="_xlnm.Print_Area" localSheetId="1">CRONOG!$A$1:$J$25</definedName>
    <definedName name="_xlnm.Print_Area" localSheetId="3">CRONOGRAMA!$A$1:$Y$60</definedName>
    <definedName name="_xlnm.Print_Area" localSheetId="5">'DIM. DREN.'!$A$2:$K$67</definedName>
    <definedName name="_xlnm.Print_Area" localSheetId="7">DRENAGEM!$A$1:$AF$30</definedName>
    <definedName name="_xlnm.Print_Area" localSheetId="15">'MAT. BET.'!$A$1:$E$35</definedName>
    <definedName name="_xlnm.Print_Area" localSheetId="9">'OBRAS COMPLEMENTARES'!$A$1:$M$12</definedName>
    <definedName name="_xlnm.Print_Area" localSheetId="0">ORÇAMENTO!$A$1:$M$33</definedName>
    <definedName name="_xlnm.Print_Area" localSheetId="2">QCI!$A$1:$I$49</definedName>
    <definedName name="_xlnm.Print_Area" localSheetId="14">REAJUSTE!$A$1:$E$39</definedName>
    <definedName name="_xlnm.Print_Area" localSheetId="4">TERRAPL.!$A$1:$J$66</definedName>
    <definedName name="matriz">[1]BDI!$Q$17:$V$21</definedName>
    <definedName name="matriz2">[1]BDI!$Q$23:$V$27</definedName>
    <definedName name="TESTE">[2]BDI!XEV:XEV*[2]BDI!XEW:XEW</definedName>
    <definedName name="_xlnm.Print_Titles" localSheetId="12">'COMP. SINAPI'!$1:$4</definedName>
    <definedName name="_xlnm.Print_Titles" localSheetId="13">COTAÇÃO!$1:$1</definedName>
    <definedName name="_xlnm.Print_Titles" localSheetId="5">'DIM. DREN.'!$2:$7</definedName>
    <definedName name="_xlnm.Print_Titles" localSheetId="7">DRENAGEM!$1:$5</definedName>
    <definedName name="_xlnm.Print_Titles" localSheetId="9">'OBRAS COMPLEMENTARES'!$1:$3</definedName>
    <definedName name="_xlnm.Print_Titles" localSheetId="8">PAVIM.!$1:$3</definedName>
    <definedName name="_xlnm.Print_Titles" localSheetId="10">SINALIZAÇÃO!$1:$3</definedName>
    <definedName name="_xlnm.Print_Titles" localSheetId="4">TERRAPL.!$1:$4</definedName>
  </definedNames>
  <calcPr calcId="152511"/>
</workbook>
</file>

<file path=xl/calcChain.xml><?xml version="1.0" encoding="utf-8"?>
<calcChain xmlns="http://schemas.openxmlformats.org/spreadsheetml/2006/main">
  <c r="H11" i="4" l="1"/>
  <c r="I11" i="4"/>
  <c r="J11" i="4"/>
  <c r="E10" i="37" l="1"/>
  <c r="H10" i="37" s="1"/>
  <c r="B10" i="37"/>
  <c r="B11" i="37"/>
  <c r="B12" i="37"/>
  <c r="B9" i="37"/>
  <c r="C10" i="37"/>
  <c r="C11" i="37"/>
  <c r="C12" i="37"/>
  <c r="C9" i="37"/>
  <c r="H10" i="4" l="1"/>
  <c r="I10" i="4" s="1"/>
  <c r="J10" i="4" s="1"/>
  <c r="E9" i="37" s="1"/>
  <c r="H9" i="37" s="1"/>
  <c r="H12" i="4" l="1"/>
  <c r="I12" i="4" s="1"/>
  <c r="J12" i="4" s="1"/>
  <c r="E11" i="37" s="1"/>
  <c r="H11" i="37" l="1"/>
  <c r="E13" i="37"/>
  <c r="M62" i="7"/>
  <c r="J61" i="7"/>
  <c r="I61" i="7"/>
  <c r="J48" i="7"/>
  <c r="I48" i="7"/>
  <c r="C26" i="7"/>
  <c r="C35" i="7" s="1"/>
  <c r="C48" i="7" s="1"/>
  <c r="C61" i="7" s="1"/>
  <c r="K18" i="7"/>
  <c r="M18" i="7" s="1"/>
  <c r="H18" i="7"/>
  <c r="H26" i="7" s="1"/>
  <c r="H35" i="7" s="1"/>
  <c r="H48" i="7" s="1"/>
  <c r="H61" i="7" s="1"/>
  <c r="G18" i="7"/>
  <c r="G26" i="7" s="1"/>
  <c r="G35" i="7" s="1"/>
  <c r="G48" i="7" s="1"/>
  <c r="G61" i="7" s="1"/>
  <c r="F18" i="7"/>
  <c r="F26" i="7" s="1"/>
  <c r="F35" i="7" s="1"/>
  <c r="F48" i="7" s="1"/>
  <c r="F61" i="7" s="1"/>
  <c r="E18" i="7"/>
  <c r="E26" i="7" s="1"/>
  <c r="E35" i="7" s="1"/>
  <c r="E48" i="7" s="1"/>
  <c r="E61" i="7" s="1"/>
  <c r="D18" i="7"/>
  <c r="D26" i="7" s="1"/>
  <c r="D35" i="7" s="1"/>
  <c r="D48" i="7" s="1"/>
  <c r="D61" i="7" s="1"/>
  <c r="C18" i="7"/>
  <c r="B18" i="7"/>
  <c r="B26" i="7" s="1"/>
  <c r="B35" i="7" s="1"/>
  <c r="B48" i="7" s="1"/>
  <c r="B61" i="7" s="1"/>
  <c r="A18" i="7"/>
  <c r="A26" i="7" s="1"/>
  <c r="A35" i="7" s="1"/>
  <c r="A48" i="7" s="1"/>
  <c r="A61" i="7" s="1"/>
  <c r="M10" i="7"/>
  <c r="K26" i="7" l="1"/>
  <c r="M26" i="7" l="1"/>
  <c r="K35" i="7"/>
  <c r="M35" i="7" l="1"/>
  <c r="K48" i="7"/>
  <c r="M48" i="7" l="1"/>
  <c r="K61" i="7"/>
  <c r="M61" i="7" s="1"/>
  <c r="F130" i="30" l="1"/>
  <c r="K17" i="7"/>
  <c r="K25" i="7" s="1"/>
  <c r="K34" i="7" s="1"/>
  <c r="K47" i="7" s="1"/>
  <c r="K60" i="7" s="1"/>
  <c r="K15" i="7"/>
  <c r="K23" i="7" s="1"/>
  <c r="K31" i="7" s="1"/>
  <c r="K44" i="7" s="1"/>
  <c r="K57" i="7" s="1"/>
  <c r="J45" i="7"/>
  <c r="J46" i="7"/>
  <c r="I47" i="7"/>
  <c r="I60" i="7" s="1"/>
  <c r="J47" i="7"/>
  <c r="J60" i="7" s="1"/>
  <c r="J44" i="7"/>
  <c r="J57" i="7" s="1"/>
  <c r="I44" i="7"/>
  <c r="I57" i="7" s="1"/>
  <c r="G46" i="7"/>
  <c r="G59" i="7" s="1"/>
  <c r="G13" i="33" s="1"/>
  <c r="F46" i="7"/>
  <c r="F59" i="7" s="1"/>
  <c r="F13" i="33" s="1"/>
  <c r="D46" i="7"/>
  <c r="D59" i="7" s="1"/>
  <c r="D13" i="33" s="1"/>
  <c r="C46" i="7"/>
  <c r="C59" i="7" s="1"/>
  <c r="C13" i="33" s="1"/>
  <c r="A46" i="7"/>
  <c r="A59" i="7" s="1"/>
  <c r="A13" i="33" s="1"/>
  <c r="I8" i="7"/>
  <c r="M7" i="7"/>
  <c r="I59" i="7" l="1"/>
  <c r="K59" i="7" l="1"/>
  <c r="I13" i="33"/>
  <c r="M13" i="33" s="1"/>
  <c r="M14" i="33" s="1"/>
  <c r="M41" i="33"/>
  <c r="M40" i="33"/>
  <c r="M42" i="33" l="1"/>
  <c r="E22" i="28" l="1"/>
  <c r="E15" i="28"/>
  <c r="F15" i="28" s="1"/>
  <c r="E14" i="28"/>
  <c r="M35" i="33"/>
  <c r="M34" i="33"/>
  <c r="M33" i="33"/>
  <c r="M32" i="33"/>
  <c r="M31" i="33"/>
  <c r="M36" i="33" l="1"/>
  <c r="G7" i="33"/>
  <c r="F7" i="33"/>
  <c r="F18" i="33" s="1"/>
  <c r="E7" i="33"/>
  <c r="E18" i="33" s="1"/>
  <c r="D7" i="33"/>
  <c r="D18" i="33" s="1"/>
  <c r="C7" i="33"/>
  <c r="C18" i="33" s="1"/>
  <c r="B7" i="33"/>
  <c r="B18" i="33" s="1"/>
  <c r="A7" i="33"/>
  <c r="A18" i="33" s="1"/>
  <c r="M7" i="36"/>
  <c r="M6" i="36"/>
  <c r="H6" i="36"/>
  <c r="G6" i="36"/>
  <c r="G11" i="36" s="1"/>
  <c r="F6" i="36"/>
  <c r="F11" i="36" s="1"/>
  <c r="E6" i="36"/>
  <c r="E11" i="36" s="1"/>
  <c r="D6" i="36"/>
  <c r="D11" i="36" s="1"/>
  <c r="C6" i="36"/>
  <c r="C11" i="36" s="1"/>
  <c r="B6" i="36"/>
  <c r="B11" i="36" s="1"/>
  <c r="A6" i="36"/>
  <c r="A11" i="36" s="1"/>
  <c r="J16" i="7"/>
  <c r="M15" i="7"/>
  <c r="H15" i="7"/>
  <c r="H23" i="7" s="1"/>
  <c r="H31" i="7" s="1"/>
  <c r="H44" i="7" s="1"/>
  <c r="H57" i="7" s="1"/>
  <c r="G15" i="7"/>
  <c r="G23" i="7" s="1"/>
  <c r="G31" i="7" s="1"/>
  <c r="G44" i="7" s="1"/>
  <c r="G57" i="7" s="1"/>
  <c r="F15" i="7"/>
  <c r="F23" i="7" s="1"/>
  <c r="F31" i="7" s="1"/>
  <c r="F44" i="7" s="1"/>
  <c r="F57" i="7" s="1"/>
  <c r="E15" i="7"/>
  <c r="E23" i="7" s="1"/>
  <c r="E31" i="7" s="1"/>
  <c r="E44" i="7" s="1"/>
  <c r="E57" i="7" s="1"/>
  <c r="D15" i="7"/>
  <c r="D23" i="7" s="1"/>
  <c r="D31" i="7" s="1"/>
  <c r="D44" i="7" s="1"/>
  <c r="D57" i="7" s="1"/>
  <c r="C15" i="7"/>
  <c r="C23" i="7" s="1"/>
  <c r="C31" i="7" s="1"/>
  <c r="C44" i="7" s="1"/>
  <c r="C57" i="7" s="1"/>
  <c r="B15" i="7"/>
  <c r="B23" i="7" s="1"/>
  <c r="B31" i="7" s="1"/>
  <c r="B44" i="7" s="1"/>
  <c r="B57" i="7" s="1"/>
  <c r="A15" i="7"/>
  <c r="A23" i="7" s="1"/>
  <c r="A31" i="7" s="1"/>
  <c r="A44" i="7" s="1"/>
  <c r="A57" i="7" s="1"/>
  <c r="K8" i="7"/>
  <c r="AB16" i="31"/>
  <c r="AE16" i="31" s="1"/>
  <c r="AF16" i="31" s="1"/>
  <c r="H13" i="4"/>
  <c r="I13" i="4" s="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I12" i="35"/>
  <c r="F8" i="28"/>
  <c r="F9" i="28"/>
  <c r="F10" i="28"/>
  <c r="F11" i="28"/>
  <c r="F12" i="28"/>
  <c r="F13" i="28"/>
  <c r="F14" i="28"/>
  <c r="G18" i="33" l="1"/>
  <c r="I7" i="33"/>
  <c r="J13" i="4"/>
  <c r="G46" i="21"/>
  <c r="G38" i="21"/>
  <c r="G30" i="21"/>
  <c r="G22" i="21"/>
  <c r="G14" i="21"/>
  <c r="G51" i="21"/>
  <c r="G47" i="21"/>
  <c r="G43" i="21"/>
  <c r="G39" i="21"/>
  <c r="G35" i="21"/>
  <c r="G31" i="21"/>
  <c r="G27" i="21"/>
  <c r="G23" i="21"/>
  <c r="G19" i="21"/>
  <c r="G15" i="21"/>
  <c r="G11" i="21"/>
  <c r="G7" i="21"/>
  <c r="J37" i="21"/>
  <c r="G49" i="21"/>
  <c r="G45" i="21"/>
  <c r="G41" i="21"/>
  <c r="G37" i="21"/>
  <c r="G33" i="21"/>
  <c r="G29" i="21"/>
  <c r="G25" i="21"/>
  <c r="G21" i="21"/>
  <c r="G17" i="21"/>
  <c r="G13" i="21"/>
  <c r="G9" i="21"/>
  <c r="J21" i="21"/>
  <c r="G50" i="21"/>
  <c r="G42" i="21"/>
  <c r="G34" i="21"/>
  <c r="G26" i="21"/>
  <c r="G18" i="21"/>
  <c r="G10" i="21"/>
  <c r="J51" i="21"/>
  <c r="J47" i="21"/>
  <c r="J43" i="21"/>
  <c r="J39" i="21"/>
  <c r="J35" i="21"/>
  <c r="J31" i="21"/>
  <c r="J27" i="21"/>
  <c r="J23" i="21"/>
  <c r="J19" i="21"/>
  <c r="J15" i="21"/>
  <c r="J11" i="21"/>
  <c r="J7" i="21"/>
  <c r="J49" i="21"/>
  <c r="J45" i="21"/>
  <c r="J41" i="21"/>
  <c r="J33" i="21"/>
  <c r="J29" i="21"/>
  <c r="J25" i="21"/>
  <c r="J17" i="21"/>
  <c r="J13" i="21"/>
  <c r="J9" i="21"/>
  <c r="J50" i="21"/>
  <c r="J46" i="21"/>
  <c r="J42" i="21"/>
  <c r="J38" i="21"/>
  <c r="J34" i="21"/>
  <c r="J30" i="21"/>
  <c r="J26" i="21"/>
  <c r="J22" i="21"/>
  <c r="J18" i="21"/>
  <c r="J14" i="21"/>
  <c r="J10" i="21"/>
  <c r="G48" i="21"/>
  <c r="G44" i="21"/>
  <c r="G40" i="21"/>
  <c r="G36" i="21"/>
  <c r="G32" i="21"/>
  <c r="G28" i="21"/>
  <c r="G24" i="21"/>
  <c r="G20" i="21"/>
  <c r="G16" i="21"/>
  <c r="G12" i="21"/>
  <c r="G8" i="21"/>
  <c r="J48" i="21"/>
  <c r="J44" i="21"/>
  <c r="J40" i="21"/>
  <c r="J36" i="21"/>
  <c r="J32" i="21"/>
  <c r="J28" i="21"/>
  <c r="J24" i="21"/>
  <c r="J20" i="21"/>
  <c r="J16" i="21"/>
  <c r="J12" i="21"/>
  <c r="J8" i="21"/>
  <c r="G12" i="37" l="1"/>
  <c r="J9" i="4"/>
  <c r="M7" i="33"/>
  <c r="I18" i="33"/>
  <c r="M18" i="33" s="1"/>
  <c r="M44" i="7"/>
  <c r="M57" i="7"/>
  <c r="M23" i="7"/>
  <c r="M31" i="7"/>
  <c r="H12" i="37" l="1"/>
  <c r="H13" i="37" s="1"/>
  <c r="G13" i="37"/>
  <c r="M11" i="36"/>
  <c r="B7" i="3"/>
  <c r="A7" i="3"/>
  <c r="C2" i="14"/>
  <c r="F120" i="30"/>
  <c r="F109" i="30"/>
  <c r="F98" i="30"/>
  <c r="F87" i="30"/>
  <c r="F76" i="30"/>
  <c r="F65" i="30"/>
  <c r="M26" i="33" l="1"/>
  <c r="M24" i="33"/>
  <c r="M25" i="33"/>
  <c r="G8" i="33"/>
  <c r="F8" i="33"/>
  <c r="F19" i="33" s="1"/>
  <c r="E8" i="33"/>
  <c r="E19" i="33" s="1"/>
  <c r="D8" i="33"/>
  <c r="C8" i="33"/>
  <c r="C19" i="33" s="1"/>
  <c r="C24" i="33" s="1"/>
  <c r="B8" i="33"/>
  <c r="B19" i="33" s="1"/>
  <c r="A8" i="33"/>
  <c r="A19" i="33" s="1"/>
  <c r="M8" i="7"/>
  <c r="H16" i="7"/>
  <c r="H24" i="7" s="1"/>
  <c r="H32" i="7" s="1"/>
  <c r="G16" i="7"/>
  <c r="G24" i="7" s="1"/>
  <c r="G32" i="7" s="1"/>
  <c r="F16" i="7"/>
  <c r="F24" i="7" s="1"/>
  <c r="F32" i="7" s="1"/>
  <c r="E16" i="7"/>
  <c r="E24" i="7" s="1"/>
  <c r="E32" i="7" s="1"/>
  <c r="D16" i="7"/>
  <c r="C16" i="7"/>
  <c r="C24" i="7" s="1"/>
  <c r="C32" i="7" s="1"/>
  <c r="B16" i="7"/>
  <c r="B24" i="7" s="1"/>
  <c r="B32" i="7" s="1"/>
  <c r="A16" i="7"/>
  <c r="A24" i="7" s="1"/>
  <c r="A32" i="7" s="1"/>
  <c r="AB14" i="31"/>
  <c r="AE14" i="31" s="1"/>
  <c r="AF14" i="31" s="1"/>
  <c r="B14" i="31"/>
  <c r="AB6" i="31"/>
  <c r="J6" i="31"/>
  <c r="G6" i="31"/>
  <c r="C45" i="7" l="1"/>
  <c r="C58" i="7" s="1"/>
  <c r="G45" i="7"/>
  <c r="G58" i="7" s="1"/>
  <c r="H45" i="7"/>
  <c r="H58" i="7" s="1"/>
  <c r="A45" i="7"/>
  <c r="A58" i="7" s="1"/>
  <c r="E45" i="7"/>
  <c r="E58" i="7" s="1"/>
  <c r="B45" i="7"/>
  <c r="B58" i="7" s="1"/>
  <c r="F45" i="7"/>
  <c r="F58" i="7" s="1"/>
  <c r="M27" i="33"/>
  <c r="I8" i="33"/>
  <c r="I19" i="33" s="1"/>
  <c r="M19" i="33" s="1"/>
  <c r="D24" i="7"/>
  <c r="I16" i="7"/>
  <c r="K16" i="7" s="1"/>
  <c r="R6" i="31"/>
  <c r="J28" i="31"/>
  <c r="G19" i="33"/>
  <c r="G24" i="33" s="1"/>
  <c r="D19" i="33"/>
  <c r="Z6" i="31"/>
  <c r="Q6" i="31"/>
  <c r="W6" i="31"/>
  <c r="AA6" i="31"/>
  <c r="U6" i="31"/>
  <c r="AC6" i="31" s="1"/>
  <c r="G25" i="33" l="1"/>
  <c r="G26" i="33" s="1"/>
  <c r="G31" i="33"/>
  <c r="M8" i="33"/>
  <c r="D32" i="7"/>
  <c r="D45" i="7" s="1"/>
  <c r="I24" i="7"/>
  <c r="J27" i="31"/>
  <c r="M16" i="7"/>
  <c r="AE6" i="31"/>
  <c r="G32" i="33" l="1"/>
  <c r="G33" i="33" s="1"/>
  <c r="G34" i="33" s="1"/>
  <c r="G35" i="33" s="1"/>
  <c r="G40" i="33"/>
  <c r="G41" i="33" s="1"/>
  <c r="K24" i="7"/>
  <c r="M24" i="7" s="1"/>
  <c r="I32" i="7"/>
  <c r="K32" i="7" s="1"/>
  <c r="H6" i="31"/>
  <c r="L6" i="31" s="1"/>
  <c r="N6" i="31" s="1"/>
  <c r="S6" i="31" s="1"/>
  <c r="AF6" i="31"/>
  <c r="M32" i="7" l="1"/>
  <c r="I45" i="7"/>
  <c r="K45" i="7" s="1"/>
  <c r="D58" i="7"/>
  <c r="I58" i="7" s="1"/>
  <c r="K58" i="7" s="1"/>
  <c r="I3" i="4"/>
  <c r="K3" i="4"/>
  <c r="M9" i="7"/>
  <c r="M11" i="7" s="1"/>
  <c r="M58" i="7" l="1"/>
  <c r="M45" i="7"/>
  <c r="M47" i="7"/>
  <c r="M60" i="7"/>
  <c r="B3" i="4" l="1"/>
  <c r="M66" i="7"/>
  <c r="M52" i="7"/>
  <c r="M39" i="7"/>
  <c r="E8" i="34"/>
  <c r="I6" i="21" l="1"/>
  <c r="F6" i="21"/>
  <c r="D6" i="21"/>
  <c r="G6" i="21" l="1"/>
  <c r="J6" i="21"/>
  <c r="G46" i="33"/>
  <c r="G5" i="21"/>
  <c r="J5" i="21"/>
  <c r="H17" i="7"/>
  <c r="H25" i="7" s="1"/>
  <c r="H34" i="7" s="1"/>
  <c r="H47" i="7" s="1"/>
  <c r="H60" i="7" s="1"/>
  <c r="G17" i="7"/>
  <c r="G25" i="7" s="1"/>
  <c r="G34" i="7" s="1"/>
  <c r="G47" i="7" s="1"/>
  <c r="G60" i="7" s="1"/>
  <c r="F17" i="7"/>
  <c r="F25" i="7" s="1"/>
  <c r="F34" i="7" s="1"/>
  <c r="F47" i="7" s="1"/>
  <c r="F60" i="7" s="1"/>
  <c r="E17" i="7"/>
  <c r="E25" i="7" s="1"/>
  <c r="E34" i="7" s="1"/>
  <c r="E47" i="7" s="1"/>
  <c r="E60" i="7" s="1"/>
  <c r="D17" i="7"/>
  <c r="C17" i="7"/>
  <c r="C25" i="7" s="1"/>
  <c r="C34" i="7" s="1"/>
  <c r="C47" i="7" s="1"/>
  <c r="C60" i="7" s="1"/>
  <c r="B17" i="7"/>
  <c r="B25" i="7" s="1"/>
  <c r="B34" i="7" s="1"/>
  <c r="B47" i="7" s="1"/>
  <c r="B60" i="7" s="1"/>
  <c r="A17" i="7"/>
  <c r="A25" i="7" s="1"/>
  <c r="A34" i="7" s="1"/>
  <c r="A47" i="7" s="1"/>
  <c r="A60" i="7" s="1"/>
  <c r="B46" i="7" l="1"/>
  <c r="B59" i="7" s="1"/>
  <c r="B13" i="33" s="1"/>
  <c r="I33" i="7"/>
  <c r="K33" i="7" s="1"/>
  <c r="H46" i="7"/>
  <c r="H59" i="7" s="1"/>
  <c r="E46" i="7"/>
  <c r="E59" i="7" s="1"/>
  <c r="E13" i="33" s="1"/>
  <c r="G52" i="21"/>
  <c r="I54" i="21" s="1"/>
  <c r="D25" i="7"/>
  <c r="M17" i="7"/>
  <c r="M19" i="7" s="1"/>
  <c r="J52" i="21"/>
  <c r="I55" i="21" s="1"/>
  <c r="M33" i="7" l="1"/>
  <c r="I46" i="7"/>
  <c r="K46" i="7" s="1"/>
  <c r="M12" i="36"/>
  <c r="D34" i="7"/>
  <c r="D47" i="7" s="1"/>
  <c r="D60" i="7" s="1"/>
  <c r="M25" i="7" l="1"/>
  <c r="M27" i="7" s="1"/>
  <c r="M34" i="7"/>
  <c r="M36" i="7" s="1"/>
  <c r="M37" i="7" l="1"/>
  <c r="M38" i="7" s="1"/>
  <c r="M59" i="7"/>
  <c r="M46" i="7"/>
  <c r="M49" i="7" s="1"/>
  <c r="M63" i="7" l="1"/>
  <c r="E8" i="35"/>
  <c r="G8" i="35"/>
  <c r="I8" i="35"/>
  <c r="K8" i="35"/>
  <c r="M64" i="7" l="1"/>
  <c r="M65" i="7" s="1"/>
  <c r="F29" i="28" l="1"/>
  <c r="F28" i="28"/>
  <c r="F27" i="28"/>
  <c r="F26" i="28"/>
  <c r="F25" i="28"/>
  <c r="F24" i="28"/>
  <c r="F23" i="28"/>
  <c r="F21" i="28"/>
  <c r="F20" i="28"/>
  <c r="F7" i="28"/>
  <c r="E2" i="28"/>
  <c r="B3" i="34"/>
  <c r="B3" i="14"/>
  <c r="E7" i="34"/>
  <c r="E6" i="34"/>
  <c r="K9" i="35" l="1"/>
  <c r="K10" i="35"/>
  <c r="K11" i="35"/>
  <c r="K12" i="35"/>
  <c r="K7" i="35"/>
  <c r="C12" i="35"/>
  <c r="E12" i="35"/>
  <c r="G12" i="35"/>
  <c r="I9" i="35"/>
  <c r="I10" i="35"/>
  <c r="I11" i="35"/>
  <c r="I7" i="35"/>
  <c r="B11" i="3" l="1"/>
  <c r="A11" i="3"/>
  <c r="A11" i="35" s="1"/>
  <c r="D3" i="36" l="1"/>
  <c r="M2" i="36"/>
  <c r="K2" i="36"/>
  <c r="I2" i="36"/>
  <c r="D2" i="36"/>
  <c r="F11" i="3" l="1"/>
  <c r="H11" i="3" s="1"/>
  <c r="M47" i="33" l="1"/>
  <c r="F22" i="28"/>
  <c r="F30" i="28" s="1"/>
  <c r="B3" i="21" l="1"/>
  <c r="I56" i="21" l="1"/>
  <c r="B3" i="30"/>
  <c r="J16" i="4" l="1"/>
  <c r="F7" i="3" l="1"/>
  <c r="F22" i="8"/>
  <c r="F2" i="30" l="1"/>
  <c r="F175" i="30" l="1"/>
  <c r="F158" i="30"/>
  <c r="F150" i="30"/>
  <c r="F149" i="30"/>
  <c r="F148" i="30"/>
  <c r="F144" i="30"/>
  <c r="F137" i="30"/>
  <c r="F55" i="30"/>
  <c r="F46" i="30"/>
  <c r="F39" i="30"/>
  <c r="F30" i="30"/>
  <c r="F21" i="30"/>
  <c r="F12" i="30"/>
  <c r="F16" i="28" l="1"/>
  <c r="F151" i="30"/>
  <c r="D3" i="33" l="1"/>
  <c r="M9" i="33" l="1"/>
  <c r="E8" i="8"/>
  <c r="D8" i="8"/>
  <c r="N2" i="35"/>
  <c r="R2" i="35"/>
  <c r="V2" i="35"/>
  <c r="B3" i="35"/>
  <c r="B2" i="35"/>
  <c r="M20" i="33" l="1"/>
  <c r="G11" i="35"/>
  <c r="E11" i="35"/>
  <c r="C11" i="35"/>
  <c r="G10" i="35"/>
  <c r="E10" i="35"/>
  <c r="C10" i="35"/>
  <c r="G9" i="35"/>
  <c r="E9" i="35"/>
  <c r="C9" i="35"/>
  <c r="C8" i="35"/>
  <c r="G7" i="35"/>
  <c r="E7" i="35"/>
  <c r="C7" i="35"/>
  <c r="B3" i="3"/>
  <c r="H2" i="3"/>
  <c r="F2" i="3"/>
  <c r="C2" i="3"/>
  <c r="B2" i="3"/>
  <c r="E2" i="34"/>
  <c r="C3" i="34"/>
  <c r="C2" i="34"/>
  <c r="B2" i="34"/>
  <c r="D3" i="30"/>
  <c r="D2" i="30"/>
  <c r="B2" i="30"/>
  <c r="B3" i="28"/>
  <c r="C3" i="28"/>
  <c r="C2" i="28"/>
  <c r="B2" i="28"/>
  <c r="L2" i="33"/>
  <c r="M2" i="33"/>
  <c r="I2" i="33"/>
  <c r="D2" i="33"/>
  <c r="S2" i="31"/>
  <c r="J2" i="21"/>
  <c r="H2" i="21"/>
  <c r="F2" i="21"/>
  <c r="B2" i="21"/>
  <c r="M3" i="7"/>
  <c r="K4" i="4" s="1"/>
  <c r="N2" i="31"/>
  <c r="G2" i="31"/>
  <c r="G3" i="31"/>
  <c r="J4" i="4" l="1"/>
  <c r="D3" i="14"/>
  <c r="M3" i="36"/>
  <c r="F3" i="30"/>
  <c r="H6" i="8"/>
  <c r="J3" i="21"/>
  <c r="V3" i="35"/>
  <c r="H3" i="3"/>
  <c r="E3" i="34"/>
  <c r="F2" i="28"/>
  <c r="M3" i="33"/>
  <c r="AB2" i="31"/>
  <c r="F30" i="8" l="1"/>
  <c r="A1" i="7" l="1"/>
  <c r="F12" i="3" l="1"/>
  <c r="H6" i="19" l="1"/>
  <c r="G11" i="20" l="1"/>
  <c r="G12" i="20" s="1"/>
  <c r="G14" i="20" s="1"/>
  <c r="B10" i="3" l="1"/>
  <c r="A10" i="3"/>
  <c r="A10" i="35" s="1"/>
  <c r="B12" i="3"/>
  <c r="A12" i="3"/>
  <c r="A12" i="35" s="1"/>
  <c r="G6" i="20" l="1"/>
  <c r="F6" i="20"/>
  <c r="G5" i="20"/>
  <c r="C10" i="19" s="1"/>
  <c r="F5" i="20"/>
  <c r="E44" i="19"/>
  <c r="I44" i="19" s="1"/>
  <c r="F40" i="19"/>
  <c r="H40" i="19" s="1"/>
  <c r="I40" i="19" s="1"/>
  <c r="C40" i="19"/>
  <c r="E14" i="19"/>
  <c r="I14" i="19" l="1"/>
  <c r="K40" i="19"/>
  <c r="F10" i="19"/>
  <c r="H10" i="19" s="1"/>
  <c r="I10" i="19" s="1"/>
  <c r="K10" i="19" s="1"/>
  <c r="M50" i="7" l="1"/>
  <c r="A7" i="35" l="1"/>
  <c r="B9" i="3"/>
  <c r="B8" i="3"/>
  <c r="A8" i="3" l="1"/>
  <c r="A8" i="35" s="1"/>
  <c r="A9" i="3"/>
  <c r="A9" i="35" s="1"/>
  <c r="H12" i="3" l="1"/>
  <c r="F9" i="3" l="1"/>
  <c r="M51" i="7" l="1"/>
  <c r="F10" i="3" l="1"/>
  <c r="H9" i="3"/>
  <c r="H10" i="3" l="1"/>
  <c r="E49" i="3" l="1"/>
  <c r="H7" i="3" l="1"/>
  <c r="J29" i="31" l="1"/>
  <c r="J30" i="31"/>
  <c r="F8" i="3" l="1"/>
  <c r="F49" i="3" s="1"/>
  <c r="H8" i="3" l="1"/>
  <c r="H16" i="35" s="1"/>
  <c r="F16" i="35" l="1"/>
  <c r="D16" i="35"/>
  <c r="H49" i="3"/>
  <c r="E15" i="35" s="1"/>
  <c r="J16" i="35"/>
  <c r="B16" i="35"/>
  <c r="B17" i="35" s="1"/>
  <c r="J18" i="35" l="1"/>
  <c r="F15" i="35"/>
  <c r="K15" i="35"/>
  <c r="H15" i="35"/>
  <c r="C15" i="35"/>
  <c r="D15" i="35"/>
  <c r="G15" i="35"/>
  <c r="F18" i="35"/>
  <c r="I9" i="3"/>
  <c r="I11" i="3"/>
  <c r="D18" i="35"/>
  <c r="H18" i="35"/>
  <c r="I8" i="3"/>
  <c r="I10" i="3"/>
  <c r="D17" i="35"/>
  <c r="F17" i="35" s="1"/>
  <c r="H17" i="35" s="1"/>
  <c r="J17" i="35" s="1"/>
  <c r="I15" i="35"/>
  <c r="I7" i="3"/>
  <c r="B15" i="35"/>
  <c r="J15" i="35"/>
  <c r="B18" i="35"/>
  <c r="B19" i="35" s="1"/>
  <c r="I12" i="3"/>
  <c r="I49" i="3" l="1"/>
  <c r="D19" i="35"/>
  <c r="F19" i="35" s="1"/>
  <c r="H19" i="35" s="1"/>
  <c r="J19" i="35" s="1"/>
</calcChain>
</file>

<file path=xl/comments1.xml><?xml version="1.0" encoding="utf-8"?>
<comments xmlns="http://schemas.openxmlformats.org/spreadsheetml/2006/main">
  <authors>
    <author>Darcio</author>
  </authors>
  <commentList>
    <comment ref="I6" authorId="0" shapeId="0">
      <text>
        <r>
          <rPr>
            <b/>
            <sz val="16"/>
            <color indexed="81"/>
            <rFont val="Segoe UI"/>
            <family val="2"/>
          </rPr>
          <t>ALGUNS PROJTISTAS ADOTAM SEMPRE 10MIN, EM FAVOR DA SEGURANÇA</t>
        </r>
      </text>
    </comment>
    <comment ref="K6" authorId="0" shapeId="0">
      <text>
        <r>
          <rPr>
            <b/>
            <sz val="22"/>
            <color indexed="81"/>
            <rFont val="Segoe UI"/>
            <family val="2"/>
          </rPr>
          <t>media ponderada conforme áreas e seus respectivos coeficientes</t>
        </r>
      </text>
    </comment>
    <comment ref="N6" authorId="0" shapeId="0">
      <text>
        <r>
          <rPr>
            <b/>
            <sz val="16"/>
            <color indexed="81"/>
            <rFont val="Segoe UI"/>
            <family val="2"/>
          </rPr>
          <t>COMO A VAZÃO DE PROJETO É MENOR Q DA SARJETA ESSE SEGMENTO PODE SER TRANSPORTADO SOMENTE PELA SARJETA</t>
        </r>
      </text>
    </comment>
    <comment ref="S6" authorId="0" shapeId="0">
      <text>
        <r>
          <rPr>
            <b/>
            <sz val="9"/>
            <color indexed="81"/>
            <rFont val="Segoe UI"/>
            <family val="2"/>
          </rPr>
          <t>FORMULA APOSTILA</t>
        </r>
      </text>
    </comment>
    <comment ref="U6" authorId="0" shapeId="0">
      <text>
        <r>
          <rPr>
            <b/>
            <sz val="9"/>
            <color indexed="81"/>
            <rFont val="Segoe UI"/>
            <family val="2"/>
          </rPr>
          <t>FÓRMULA APOSTILA</t>
        </r>
      </text>
    </comment>
  </commentList>
</comments>
</file>

<file path=xl/sharedStrings.xml><?xml version="1.0" encoding="utf-8"?>
<sst xmlns="http://schemas.openxmlformats.org/spreadsheetml/2006/main" count="1364" uniqueCount="450">
  <si>
    <t>Nº do Item</t>
  </si>
  <si>
    <t>Descrição</t>
  </si>
  <si>
    <t>Unidade</t>
  </si>
  <si>
    <t>Quantidade</t>
  </si>
  <si>
    <t>Valores</t>
  </si>
  <si>
    <t>Unitário sem BDI</t>
  </si>
  <si>
    <t>BDI</t>
  </si>
  <si>
    <t>Total</t>
  </si>
  <si>
    <t>Fonte</t>
  </si>
  <si>
    <t>Referência de Custo</t>
  </si>
  <si>
    <t>Unitário com BDI</t>
  </si>
  <si>
    <t>m³</t>
  </si>
  <si>
    <t>m</t>
  </si>
  <si>
    <t>PREFEITURA MUNICIPAL DE MARACAJÁ</t>
  </si>
  <si>
    <t>m²</t>
  </si>
  <si>
    <t>TOTAL:</t>
  </si>
  <si>
    <t>QCI - QUADRO DE COMPOSIÇÃO DO INVESTIMENTO</t>
  </si>
  <si>
    <t>Outras Fontes</t>
  </si>
  <si>
    <t>INC. %</t>
  </si>
  <si>
    <t>Mês 01</t>
  </si>
  <si>
    <t>No mês</t>
  </si>
  <si>
    <t>Acum.</t>
  </si>
  <si>
    <t>Ítem</t>
  </si>
  <si>
    <t>Mês 02</t>
  </si>
  <si>
    <t>Mês 03</t>
  </si>
  <si>
    <t>Mês 04</t>
  </si>
  <si>
    <t>Mês 05</t>
  </si>
  <si>
    <t>Mês 06</t>
  </si>
  <si>
    <t>Mês 07</t>
  </si>
  <si>
    <t>Mês 08</t>
  </si>
  <si>
    <t>Mês 09</t>
  </si>
  <si>
    <t>Mês 10</t>
  </si>
  <si>
    <t>Mês 11</t>
  </si>
  <si>
    <t>Mês 12</t>
  </si>
  <si>
    <t>TOTAL</t>
  </si>
  <si>
    <t>-</t>
  </si>
  <si>
    <t>FOLHA  :  01 / 01</t>
  </si>
  <si>
    <t>tc</t>
  </si>
  <si>
    <t>Largura (m)</t>
  </si>
  <si>
    <t>Est. inicial</t>
  </si>
  <si>
    <t>Est. Final</t>
  </si>
  <si>
    <t>+</t>
  </si>
  <si>
    <t>Comprimento (m)</t>
  </si>
  <si>
    <t>LE/LD</t>
  </si>
  <si>
    <t xml:space="preserve">Agente Promotor </t>
  </si>
  <si>
    <t>Número do Contrato</t>
  </si>
  <si>
    <t>Empreendimento</t>
  </si>
  <si>
    <t>Localização</t>
  </si>
  <si>
    <t>TIPO DE OBRA</t>
  </si>
  <si>
    <t>COMPOSIÇÃO - BDI para Construção de Rodovias e Ferrovias</t>
  </si>
  <si>
    <t>ITEM</t>
  </si>
  <si>
    <t>DESCRIÇÃO ANALÍTICA</t>
  </si>
  <si>
    <t>SIGLAS</t>
  </si>
  <si>
    <t>PERCENTUAL</t>
  </si>
  <si>
    <t>SITUAÇÃO</t>
  </si>
  <si>
    <t>1° QUARTIL (MÍNIMO)</t>
  </si>
  <si>
    <t>3° QUARTIL (MÁXIMA)</t>
  </si>
  <si>
    <t>ADMINISTRAÇÃO CENTRAL</t>
  </si>
  <si>
    <t>AC</t>
  </si>
  <si>
    <t>OK</t>
  </si>
  <si>
    <t>SEGURO E GARANTIA</t>
  </si>
  <si>
    <t>S + G</t>
  </si>
  <si>
    <t>RISCO</t>
  </si>
  <si>
    <t xml:space="preserve">R </t>
  </si>
  <si>
    <t>DESPESAS FINANCEIRAS</t>
  </si>
  <si>
    <t>DF</t>
  </si>
  <si>
    <t>LUCRO</t>
  </si>
  <si>
    <t>L</t>
  </si>
  <si>
    <t>TAXA REPRESENTATIVA DE TRIBUTOS</t>
  </si>
  <si>
    <t>I= PIS+CONFINS+ISS+CPRB</t>
  </si>
  <si>
    <t>6.1</t>
  </si>
  <si>
    <t>PIS</t>
  </si>
  <si>
    <t>Alíquota iss:</t>
  </si>
  <si>
    <t>Base de cálculo:</t>
  </si>
  <si>
    <t>6.2</t>
  </si>
  <si>
    <t>CONFINS</t>
  </si>
  <si>
    <t>6.3</t>
  </si>
  <si>
    <t>CONTRIBUIÇÃO PREVIDENCIÁRIA SOBRE A RECEITA BRUTA</t>
  </si>
  <si>
    <t>CPRB</t>
  </si>
  <si>
    <t>6.4</t>
  </si>
  <si>
    <t>ISS</t>
  </si>
  <si>
    <t>LIMITE CONFORME ACÓRDÃO TCU 2.622/2013</t>
  </si>
  <si>
    <t>de 19,60% a 24,23%</t>
  </si>
  <si>
    <t>Fórmula - Acórdão TCU 2.622/2013</t>
  </si>
  <si>
    <t>BDI=</t>
  </si>
  <si>
    <r>
      <t>(1+AC+S+R+G)(1+DF)(1+L)</t>
    </r>
    <r>
      <rPr>
        <sz val="10"/>
        <color theme="1"/>
        <rFont val="Arial"/>
        <family val="2"/>
      </rPr>
      <t xml:space="preserve"> </t>
    </r>
    <r>
      <rPr>
        <u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1</t>
    </r>
  </si>
  <si>
    <t>OK! Percentual do BDI quando calculado sem desoneração atende ao limite estipulado pelo Acórdão TCU 2.622/2013</t>
  </si>
  <si>
    <t xml:space="preserve">                       (1-I)</t>
  </si>
  <si>
    <t>Obs¹: Para pagamento de material em canteiro, quando possível nos programas do Gestor, o BDI de Materiais deve ser limitado a 12,00%</t>
  </si>
  <si>
    <t xml:space="preserve">Eu, responsável técnico pelo orçamento, declaro para os devidos fins que a opção pela desoneração sobre a folha de pagamento é mais adequada para a administração pública. </t>
  </si>
  <si>
    <t>Declaração do Tomador dos Recursos:</t>
  </si>
  <si>
    <t xml:space="preserve">     Declaro, conforme legislação tributária municipal, que a alíquota do ISS é de 3% e a sua base de cálculo é de 100% sobre o valor total do orçamento.</t>
  </si>
  <si>
    <t>Responsável Técnico pela Composição do BDI</t>
  </si>
  <si>
    <t>Responsável indicado pelo Tomador</t>
  </si>
  <si>
    <r>
      <t xml:space="preserve">Nome: </t>
    </r>
    <r>
      <rPr>
        <u/>
        <sz val="11"/>
        <color theme="1"/>
        <rFont val="Arial"/>
        <family val="2"/>
      </rPr>
      <t>HELDER FRANCISCO LOCH</t>
    </r>
  </si>
  <si>
    <r>
      <t xml:space="preserve">             Cargo: </t>
    </r>
    <r>
      <rPr>
        <u/>
        <sz val="11"/>
        <color theme="1"/>
        <rFont val="Arial"/>
        <family val="2"/>
      </rPr>
      <t>CONTADOR</t>
    </r>
  </si>
  <si>
    <t xml:space="preserve">             CPF: 288.787.289-34</t>
  </si>
  <si>
    <t>LE</t>
  </si>
  <si>
    <t>LD</t>
  </si>
  <si>
    <t>Lado</t>
  </si>
  <si>
    <t>Construção de Rodovias</t>
  </si>
  <si>
    <t xml:space="preserve">Equipamento/Material: </t>
  </si>
  <si>
    <t>Fornecedor Consultado</t>
  </si>
  <si>
    <t>CNPJ</t>
  </si>
  <si>
    <t xml:space="preserve">Data da coleta da Informação </t>
  </si>
  <si>
    <t>Contato</t>
  </si>
  <si>
    <t>Telefone</t>
  </si>
  <si>
    <t>Data-base do Orçamento:</t>
  </si>
  <si>
    <t>SINALIZAÇÃO HORIZONTAL - PINTURA DE FAIXA</t>
  </si>
  <si>
    <t>Total (m²)</t>
  </si>
  <si>
    <t>Tipo</t>
  </si>
  <si>
    <t>Quantidade (un.)</t>
  </si>
  <si>
    <t>Faixas (un.)</t>
  </si>
  <si>
    <t>MUNICIPIO: MARACAJÁ</t>
  </si>
  <si>
    <t>ESTADO: SC</t>
  </si>
  <si>
    <t>SINALIZAÇÃO VERTICAL - PLACA DE REGULAMENTAÇÃO</t>
  </si>
  <si>
    <t>Est. Inicial</t>
  </si>
  <si>
    <t>REGULARIZACAO E COMPACTAÇÃO DE SUBLEITO</t>
  </si>
  <si>
    <t>Espessura (m)</t>
  </si>
  <si>
    <t>IMPRIMAÇÃO EM LIGANTE COM EMULSÃO ASFÁLTICA</t>
  </si>
  <si>
    <t>PINTURA DE LIGAÇÃO</t>
  </si>
  <si>
    <t>Quantidade (m³)</t>
  </si>
  <si>
    <t>Quantidade (m²)</t>
  </si>
  <si>
    <t>TOTAL (m³):</t>
  </si>
  <si>
    <t>PREÇO MÉDIO MENSAL PONDERADO PRATICADO PELOS DISTRIBUIDORES DE PRODUTOS ASFÁLTICOS (R$/KG)</t>
  </si>
  <si>
    <t>Importante:</t>
  </si>
  <si>
    <t>Quando não houver declaração de venda do produto selecionado, ou quando a declaração de venda do produto ocorrer por menos de 03 (três) distribuidoras, a tabela indicará campo vazio.</t>
  </si>
  <si>
    <t>Mês</t>
  </si>
  <si>
    <t>Produto</t>
  </si>
  <si>
    <t>Preço</t>
  </si>
  <si>
    <t>EMULSÃO ASFÁLTICA PARA SERVIÇO DE IMPRIMAÇÃO</t>
  </si>
  <si>
    <t xml:space="preserve">Obs: Deverá ser acrescido o ICMS de 17% e  BDI Diferenciado de 15% em relação ao valor do material </t>
  </si>
  <si>
    <t>PLACA DE OBRA</t>
  </si>
  <si>
    <t>REAJUSTE</t>
  </si>
  <si>
    <t>DRENAGEM</t>
  </si>
  <si>
    <t>PAVIMENTAÇÃO</t>
  </si>
  <si>
    <t>SINALIZAÇÃO VERTICAL</t>
  </si>
  <si>
    <t>PREFEITURA MUNICIPAL DE MARACAJÁ/SC</t>
  </si>
  <si>
    <t>ESTUDO DA BACIA DE CONTRIBUIÇÃO</t>
  </si>
  <si>
    <t>BACIA</t>
  </si>
  <si>
    <t>L. (m)</t>
  </si>
  <si>
    <t>Área (km²)</t>
  </si>
  <si>
    <t>Montante</t>
  </si>
  <si>
    <t>Jusante</t>
  </si>
  <si>
    <t>Decl. (m/km)</t>
  </si>
  <si>
    <t>TR (anos)</t>
  </si>
  <si>
    <t>i (mm/h)</t>
  </si>
  <si>
    <t>C (runoff)</t>
  </si>
  <si>
    <t>Qd (m³/s) (SOLICITADA)</t>
  </si>
  <si>
    <t>DIMENSIONAMENTO</t>
  </si>
  <si>
    <t>ESTACA</t>
  </si>
  <si>
    <t>I (m/m)</t>
  </si>
  <si>
    <r>
      <t>Ø</t>
    </r>
    <r>
      <rPr>
        <b/>
        <sz val="11.5"/>
        <rFont val="Calibri"/>
        <family val="2"/>
      </rPr>
      <t xml:space="preserve"> Projetado</t>
    </r>
  </si>
  <si>
    <t>SUBSTITUIÇÃO</t>
  </si>
  <si>
    <t>ÁREA DE CONTRIBUIÇÃO (m²)</t>
  </si>
  <si>
    <t>ÁREA DE CONTRIBUIÇÃO (HA)</t>
  </si>
  <si>
    <t>ÁREA DE CONTRIBUIÇÃO (KM²)</t>
  </si>
  <si>
    <t>SEMI DISTÂNCIA</t>
  </si>
  <si>
    <t>SOMA DAS ÁREAS</t>
  </si>
  <si>
    <t>ÁREA DE CORTE</t>
  </si>
  <si>
    <t>VOLUME DE CORTE</t>
  </si>
  <si>
    <t>ÁREA DE ATERRO</t>
  </si>
  <si>
    <t>VOLUME DE ATERRO</t>
  </si>
  <si>
    <t>ANEXO 03 - ESTUDO DE BACIAS DE CONTRIBUIÇÃO PARA CÁLCULO</t>
  </si>
  <si>
    <t>E DIMENSIONAMENTO DE BUEIRO DE TALVEGUE</t>
  </si>
  <si>
    <t>BASE DE BRITA GRADUADA SIMPLES</t>
  </si>
  <si>
    <t>Pedrisco</t>
  </si>
  <si>
    <t>CIMENTOS ASFÁLTICOS CAP-50-70</t>
  </si>
  <si>
    <t>DESCRIÇÃO DOS ÍNDICES</t>
  </si>
  <si>
    <t>CÓDIGO</t>
  </si>
  <si>
    <t>ÍNDICES DE REAJUSTAMENTO DE OBRAS RODOVIÁRIAS</t>
  </si>
  <si>
    <t>PAV</t>
  </si>
  <si>
    <t>DRE</t>
  </si>
  <si>
    <t>SV</t>
  </si>
  <si>
    <t>Valor unitário sem BDI</t>
  </si>
  <si>
    <t>Código de Reajuste</t>
  </si>
  <si>
    <t>OBS.: D.M.T da Refinaria/PR até Usina Asfáltica = 488,00 km. ICMS = 17%</t>
  </si>
  <si>
    <t>TOTAL (m²):</t>
  </si>
  <si>
    <t>TRANSPORTE DO MATERIAL BETUMINOSO PARA PINTURA DE LIGAÇÃO COM EMULSÃO ASFÁLTICA - 0,00045T/m²:</t>
  </si>
  <si>
    <t>RUA ARCENDINO FARIAS</t>
  </si>
  <si>
    <t>BAIRRO/DISTRITO: ESPIGÃO GRANDE</t>
  </si>
  <si>
    <t>Duplo de 0,60m</t>
  </si>
  <si>
    <t>Escavação (m³)</t>
  </si>
  <si>
    <t>Reaterro (m³)</t>
  </si>
  <si>
    <t>(montante)</t>
  </si>
  <si>
    <t>(jusante)</t>
  </si>
  <si>
    <t>TRAVESSIA DE PISTA</t>
  </si>
  <si>
    <t>SERVIÇO</t>
  </si>
  <si>
    <t>QTDADE</t>
  </si>
  <si>
    <t>UNID.</t>
  </si>
  <si>
    <t>BSTC D=</t>
  </si>
  <si>
    <t>ESCAVAÇÃO</t>
  </si>
  <si>
    <t>REATERRO</t>
  </si>
  <si>
    <t>COMPOSIÇÕES DE PREÇO UNITÁRIO</t>
  </si>
  <si>
    <t>INSUMO</t>
  </si>
  <si>
    <t>UNIDADE</t>
  </si>
  <si>
    <t>COEFICIENTE</t>
  </si>
  <si>
    <t>PREÇO UNITÁRIO</t>
  </si>
  <si>
    <t>CUSTO TOTAL</t>
  </si>
  <si>
    <t>CHP</t>
  </si>
  <si>
    <t>CHI</t>
  </si>
  <si>
    <t>SERVENTE COM ENCARGOS COMPLEMENTARES</t>
  </si>
  <si>
    <t>H</t>
  </si>
  <si>
    <t>ESCAVADEIRA HIDRÁULICA SOBRE ESTEIRAS, CAÇAMBA 0,80 M3, PESO OPERACIONAL 17 T, POTENCIA BRUTA 111 HP - CHP DIURNO. AF_06/2014</t>
  </si>
  <si>
    <t>ESCAVADEIRA HIDRÁULICA SOBRE ESTEIRAS, CAÇAMBA 0,80 M3, PESO OPERACIONAL 17 T, POTENCIA BRUTA 111 HP - CHI DIURNO. AF_06/2014</t>
  </si>
  <si>
    <t xml:space="preserve">Custo R$ </t>
  </si>
  <si>
    <t>Multipla Sinalização</t>
  </si>
  <si>
    <t xml:space="preserve">85.394.765/0001-06 </t>
  </si>
  <si>
    <t>Hélio</t>
  </si>
  <si>
    <t>98402-7454</t>
  </si>
  <si>
    <t>Placa de Identificação de Rua com suporte metálico galvanizado</t>
  </si>
  <si>
    <t>ESTADO: SANTA CATARINA</t>
  </si>
  <si>
    <t>T :</t>
  </si>
  <si>
    <t>anos</t>
  </si>
  <si>
    <t xml:space="preserve">K: </t>
  </si>
  <si>
    <t xml:space="preserve">b: </t>
  </si>
  <si>
    <t>m:</t>
  </si>
  <si>
    <t xml:space="preserve">n: </t>
  </si>
  <si>
    <t>Trecho</t>
  </si>
  <si>
    <t>L (m)</t>
  </si>
  <si>
    <t>Área (m²)</t>
  </si>
  <si>
    <t>TC (min)</t>
  </si>
  <si>
    <t>I (mm/h)</t>
  </si>
  <si>
    <t>C (run off)</t>
  </si>
  <si>
    <t>Vazão (m³/s)</t>
  </si>
  <si>
    <t>Cota Terreno</t>
  </si>
  <si>
    <t xml:space="preserve">Declividade              </t>
  </si>
  <si>
    <t xml:space="preserve">Diâmetro </t>
  </si>
  <si>
    <t>Velocidade (m/s)</t>
  </si>
  <si>
    <t>Recobrimento</t>
  </si>
  <si>
    <t>Cota da Galeria</t>
  </si>
  <si>
    <t xml:space="preserve">Tempo de Percurso </t>
  </si>
  <si>
    <t>Projeto</t>
  </si>
  <si>
    <t>Admissível sarjeta</t>
  </si>
  <si>
    <t>Captada</t>
  </si>
  <si>
    <t>Natural (mm)</t>
  </si>
  <si>
    <t>Adotada   (mm)</t>
  </si>
  <si>
    <t>Calculado (m)</t>
  </si>
  <si>
    <t>Comercial (mm)</t>
  </si>
  <si>
    <t>Mínimo (m)</t>
  </si>
  <si>
    <t>Adotado (m)</t>
  </si>
  <si>
    <t>Galeria (min)</t>
  </si>
  <si>
    <t>Sarjeta (min)</t>
  </si>
  <si>
    <t>CONCRETO ASFÁLTICO CAP 50/70 - FAIXA C</t>
  </si>
  <si>
    <t>Rua</t>
  </si>
  <si>
    <t xml:space="preserve">Valor adotado (mediana): </t>
  </si>
  <si>
    <t>Unidade: un.</t>
  </si>
  <si>
    <t xml:space="preserve">           ORÇAMENTO E QUADRO DE CONSULTA DE PREÇOS DE MERCADO</t>
  </si>
  <si>
    <t>Estado</t>
  </si>
  <si>
    <t>PR</t>
  </si>
  <si>
    <t>VOLUME TOTAL DE ESCAVAÇÃO:</t>
  </si>
  <si>
    <t>VOLUME TOTAL DE ATERRO:</t>
  </si>
  <si>
    <t>1.2</t>
  </si>
  <si>
    <t>ROLO COMPACTADOR VIBRATÓRIO DE UM CILINDRO AÇO LISO, POTÊNCIA 80 HP, PESO OPERACIONAL MÁXIMO 8,1 T, IMPACTO DINÂMICO 16,15 / 9,5 T, LARGURA DE TRABALHO 1,68 M - CHP DIURNO. AF_06/2014</t>
  </si>
  <si>
    <t>ROLO COMPACTADOR VIBRATÓRIO DE UM CILINDRO AÇO LISO, POTÊNCIA 80 HP, PESO OPERACIONAL MÁXIMO 8,1 T, IMPACTO DINÂMICO 16,15 / 9,5 T, LARGURA DE TRABALHO 1,68 M - CHI DIURNO. AF_06/2014</t>
  </si>
  <si>
    <t>MOTONIVELADORA POTÊNCIA BÁSICA LÍQUIDA (PRIMEIRA MARCHA) 125 HP, PESO BRUTO 13032 KG, LARGURA DA LÂMINA DE 3,7 M - CHP DIURNO. AF_06/2014</t>
  </si>
  <si>
    <t>MOTONIVELADORA POTÊNCIA BÁSICA LÍQUIDA (PRIMEIRA MARCHA) 125 HP, PESO BRUTO 13032 KG, LARGURA DA LÂMINA DE 3,7 M - CHI DIURNO. AF_06/2014</t>
  </si>
  <si>
    <t>COMPOSIÇÃO 01</t>
  </si>
  <si>
    <t>COMPOSIÇÃO 02</t>
  </si>
  <si>
    <t>CAMINHÃO PIPA 10.000 L TRUCADO, PESO BRUTO TOTAL 23.000 KG, CARGA ÚTIL MÁXIMA 15.935 KG, DISTÂNCIA ENTRE EIXOS 4,8 M, POTÊNCIA 230 CV, INCLUSIVE TANQUE DE AÇO PARA TRANSPORTE DE ÁGUA - CHP DIURNO. AF_06/2014</t>
  </si>
  <si>
    <t>CAMINHÃO PIPA 10.000 L TRUCADO, PESO BRUTO TOTAL 23.000 KG, CARGA ÚTIL MÁXIMA 15.935 KG, DISTÂNCIA ENTRE EIXOS 4,8 M, POTÊNCIA 230 CV, INCLUSIVE TANQUE DE AÇO PARA TRANSPORTE DE ÁGUA - CHI DIURNO. AF_06/2014</t>
  </si>
  <si>
    <t>EMULSÕES ASFÁLTICAS RR-1C</t>
  </si>
  <si>
    <t>Contratado</t>
  </si>
  <si>
    <t>PLANILHA DE CÁLCULO PARA DIMENSIONAMENTO E QUANTITATIVOS DE DRENAGEM URBANA</t>
  </si>
  <si>
    <t>PLANILHA DE CÁLCULO DE QUANTITATIVOS DE PAVIMENTAÇÃO</t>
  </si>
  <si>
    <t>PLANILHA DE CÁLCULO DE QUANTITATIVOS DE SINALIZAÇÃO</t>
  </si>
  <si>
    <t>Fonte: https://www.gov.br/anp/pt-br/assuntos/precos-e-defesa-da-concorrencia/precos/precos-de-distribuicao-de-produtos-asfalticos</t>
  </si>
  <si>
    <t xml:space="preserve">                       </t>
  </si>
  <si>
    <t>CRONOGRAMA GLOBAL</t>
  </si>
  <si>
    <t>Tubo de Concreto simples 0,40m</t>
  </si>
  <si>
    <t>Unidade: m</t>
  </si>
  <si>
    <t>Pré moldados Pagani</t>
  </si>
  <si>
    <t>08.372.222/0001-47</t>
  </si>
  <si>
    <t>Ademir</t>
  </si>
  <si>
    <t>3524-1044</t>
  </si>
  <si>
    <t>Concretubos</t>
  </si>
  <si>
    <t>08.982.272/0001-46</t>
  </si>
  <si>
    <t>Ritieli</t>
  </si>
  <si>
    <t>3524-0999</t>
  </si>
  <si>
    <t>Artevila Ind. e Com. Ltda</t>
  </si>
  <si>
    <t>79.937.199/0001-39</t>
  </si>
  <si>
    <t>Udson</t>
  </si>
  <si>
    <t>3432-0272</t>
  </si>
  <si>
    <t>KF Artfatos de Cimento</t>
  </si>
  <si>
    <t>78.885.548/0001-53</t>
  </si>
  <si>
    <t>Mª Eduarda</t>
  </si>
  <si>
    <t>3463-1138</t>
  </si>
  <si>
    <t>Concretos Comelli Ltda</t>
  </si>
  <si>
    <t>76.870.914/0001-75</t>
  </si>
  <si>
    <t>Renan</t>
  </si>
  <si>
    <t>3466-1664</t>
  </si>
  <si>
    <t>Tubo de Concreto simples 0,50m</t>
  </si>
  <si>
    <t>Concretos Comelli</t>
  </si>
  <si>
    <t>Tubo de Concreto armado 0,60m</t>
  </si>
  <si>
    <t>Tubo de Concreto armado 0,80m</t>
  </si>
  <si>
    <t>Meio fio - 15cm de largura</t>
  </si>
  <si>
    <t>Tubo de Concreto armado 1,00m</t>
  </si>
  <si>
    <t>Brita Graduada Simples (BGS)</t>
  </si>
  <si>
    <t>Unidade: m³</t>
  </si>
  <si>
    <t>Miner. Cedro Maracajá</t>
  </si>
  <si>
    <t>85.281.889/0004-28</t>
  </si>
  <si>
    <t>Karen</t>
  </si>
  <si>
    <t>3523-0389</t>
  </si>
  <si>
    <t>SBM - Mineração Ltda</t>
  </si>
  <si>
    <t>14.779.384/0003-69</t>
  </si>
  <si>
    <t>Patricia</t>
  </si>
  <si>
    <t>3523-1008</t>
  </si>
  <si>
    <t>Britagem Sombrio</t>
  </si>
  <si>
    <t>03.894.584/0001-84</t>
  </si>
  <si>
    <t>Leila</t>
  </si>
  <si>
    <t>3533-1027</t>
  </si>
  <si>
    <t>Areal Maccari</t>
  </si>
  <si>
    <t>02.721.573/0001-30</t>
  </si>
  <si>
    <t>Taffarel</t>
  </si>
  <si>
    <t>3434-2498</t>
  </si>
  <si>
    <t>Uggioni Britagem</t>
  </si>
  <si>
    <t>07.582.277/0001-19</t>
  </si>
  <si>
    <t>Gabriel</t>
  </si>
  <si>
    <t>99866-1509</t>
  </si>
  <si>
    <t>CR Colomo Retroterra</t>
  </si>
  <si>
    <t>81.828.923/0001-38</t>
  </si>
  <si>
    <t>Nilson</t>
  </si>
  <si>
    <t>3438-6666</t>
  </si>
  <si>
    <t>Pedra Britada N.02 (19 a 38)mm</t>
  </si>
  <si>
    <t>Débora</t>
  </si>
  <si>
    <t>Dulce Mara</t>
  </si>
  <si>
    <r>
      <t>Jazida Eckert</t>
    </r>
    <r>
      <rPr>
        <sz val="11"/>
        <color rgb="FFFF0000"/>
        <rFont val="Calibri"/>
        <family val="2"/>
        <scheme val="minor"/>
      </rPr>
      <t xml:space="preserve"> </t>
    </r>
  </si>
  <si>
    <t>02.808.957/0001-94</t>
  </si>
  <si>
    <t>Jonas</t>
  </si>
  <si>
    <t>98867-0176</t>
  </si>
  <si>
    <t>Pedra Britada N.01 (9,5 a 19)mm</t>
  </si>
  <si>
    <t>Pedra Britada N.00 (4,8 a 9,5)mm</t>
  </si>
  <si>
    <t>Pó de Pedra</t>
  </si>
  <si>
    <t>Piso Tátil Alerta e Direcional</t>
  </si>
  <si>
    <t>Unidade: m²</t>
  </si>
  <si>
    <t>RM - Artefatos de Cimento</t>
  </si>
  <si>
    <t>13.272.997/0001-80</t>
  </si>
  <si>
    <t>Everton</t>
  </si>
  <si>
    <t>99907-0449</t>
  </si>
  <si>
    <t>Jbm Artefatos de Cimento</t>
  </si>
  <si>
    <t>08.836.239/0001-08</t>
  </si>
  <si>
    <t>Vendas</t>
  </si>
  <si>
    <t>99162-7062</t>
  </si>
  <si>
    <t>Timaco</t>
  </si>
  <si>
    <t>83.669.614/0001-98</t>
  </si>
  <si>
    <t>3437-2288</t>
  </si>
  <si>
    <t>Ladrilho Hidráulico</t>
  </si>
  <si>
    <t>Manta Geotextil - Bidim</t>
  </si>
  <si>
    <t>Comercial Caressi</t>
  </si>
  <si>
    <t>95.770.228/0002-58</t>
  </si>
  <si>
    <t>3524-7128</t>
  </si>
  <si>
    <t>Lelei Mat. de Construção</t>
  </si>
  <si>
    <t>06.538.857/0001-46</t>
  </si>
  <si>
    <t>Tubo PEAD</t>
  </si>
  <si>
    <t>Paver 20 x 10 x 8cm</t>
  </si>
  <si>
    <t>Reginaldo</t>
  </si>
  <si>
    <t>Josi</t>
  </si>
  <si>
    <t>JBM</t>
  </si>
  <si>
    <t>Renata</t>
  </si>
  <si>
    <t>Areia Fina (Areia para aterro)</t>
  </si>
  <si>
    <t>Jazida Eckert</t>
  </si>
  <si>
    <t>Junior</t>
  </si>
  <si>
    <t>3524-3544</t>
  </si>
  <si>
    <t>SINALIZAÇÃO HORIZONTAL - TACHA REFLETIVA BIDIRECIONAL</t>
  </si>
  <si>
    <t>á cada</t>
  </si>
  <si>
    <t>Santhiago Mat.  Construção</t>
  </si>
  <si>
    <t>Thiago</t>
  </si>
  <si>
    <t>99999-6630</t>
  </si>
  <si>
    <t>Composição do BDI para obras com mão-de-obra sem desoneração (conforme Lei 13.161 de 2015)</t>
  </si>
  <si>
    <t>Percentual de BDI dentro do limite estipulado pelo Acódão TCU 2.622/2013. O cálculo dessa composição sem desoneração resulta em 20,73%</t>
  </si>
  <si>
    <t>Obs²: O  cálculo desta composição de BDI não considera a desoneração da contribuição previdenciária, conforme Lei 13.161/2015</t>
  </si>
  <si>
    <t>ENCARGOS SOCIAIS SEM DESONERAÇÃO</t>
  </si>
  <si>
    <t>Recurso Próprio</t>
  </si>
  <si>
    <t>M3</t>
  </si>
  <si>
    <t>TRANSPORTE DO MATERIAL BETUMINOSO PARA ASFÁLTICO CAP 50/70 - FAIXA C - PESO ESPECÍFICO 2,50T/m³:</t>
  </si>
  <si>
    <t>TOTAL (T) - PESO ESPECÍFICO 2,50T/m³:</t>
  </si>
  <si>
    <t>AQUISIÇÃO DE MATERIAL BETUMINOSO PARA ASFÁLTICO CAP 50/70 - FAIXA C - 5,2%:</t>
  </si>
  <si>
    <t>AQUISIÇÃO PARA A IMPRIMAÇÃO COM EMULSÃO ASFÁLTICA - 0,0013T/m²:</t>
  </si>
  <si>
    <t>TRANSPORTE DO MATERIAL BETUMINOSO PARA A IMPRIMAÇÃO COM EMULSÃO ASFÁLTICA - 0,0013T/m²:</t>
  </si>
  <si>
    <t>AQUISIÇÃO DO MATERIAL BETUMINOSO PARA PINTURA DE LIGAÇÃO COM EMULSÃO ASFÁLTICA RR-1C - 0,00045T/m²:</t>
  </si>
  <si>
    <t>ROLO COMPACTADOR DE PNEUS, ESTÁTICO, PRESSÃO VARIÁVEL, POTÊNCIA 110 HP, PESO SEM/COM LASTRO 10,8/27 T, LARGURA DE ROLAGEM 2,30 M - CHP DIURNO. AF_06/2017</t>
  </si>
  <si>
    <t>ROLO COMPACTADOR DE PNEUS, ESTÁTICO, PRESSÃO VARIÁVEL, POTÊNCIA 110 HP, PESO SEM/COM LASTRO 10,8/27 T, LARGURA DE ROLAGEM 2,30 M - CHI DIURNO. AF_06/2017</t>
  </si>
  <si>
    <t>BOCA DE LOBO</t>
  </si>
  <si>
    <t>Macadame Seco</t>
  </si>
  <si>
    <t>PARE</t>
  </si>
  <si>
    <t>Altura (m)</t>
  </si>
  <si>
    <t xml:space="preserve"> TOTAL:</t>
  </si>
  <si>
    <t>Quantidade (m)</t>
  </si>
  <si>
    <t>PLANILHA DE CÁLCULO DE QUANTITATIVOS DE CALÇADA</t>
  </si>
  <si>
    <t>Acumulado (R$)</t>
  </si>
  <si>
    <t>Cron. Fis. (Acum.)</t>
  </si>
  <si>
    <t>CONSTRUÇÃO DE BASE E SUB-BASE PARA PAVIMENTAÇÃO DE MACADAME SECO, COM ESPESSURA DE 20 CM - EXCLUSIVE CARGA E TRANSPORTE</t>
  </si>
  <si>
    <t>CONSTRUÇÃO DE BASE E SUB-BASE PARA PAVIMENTAÇÃO DE BRITA GRADUADA SIMPLES, COM ESPESSURA DE 15 CM - EXCLUSIVE CARGA E TRANSPORTE</t>
  </si>
  <si>
    <t>EIXO e BORDO LE/LD</t>
  </si>
  <si>
    <t>Item</t>
  </si>
  <si>
    <t>ASSENTAMENTO DE GUIA (MEIO FIO) EM TRECHO RETO, CONFECCIONADA EM CONCRETO PRÉ-FABRICADO, DIMENSÕES 100X15X13X30 CM (COMPRIMENTO X BASE INFERIOR X BASE SUPERIOR X ALTURA), PARA VIAS URBANAS (USO VIÁRIO) - TIPO 01</t>
  </si>
  <si>
    <t>ENLEIVAMENTO</t>
  </si>
  <si>
    <t>SUB BASE DE MACADAME SECO</t>
  </si>
  <si>
    <t>VOLUME DE BOTA FORA:</t>
  </si>
  <si>
    <t>Total (m)</t>
  </si>
  <si>
    <t>SINALIZAÇÃO HORIZONTAL - FAIXA ZEBRADA</t>
  </si>
  <si>
    <t>1.1</t>
  </si>
  <si>
    <t>Qtdd (un.)</t>
  </si>
  <si>
    <t>Cálculo para o  valor do transp. adotou-se a fórmula conforme Portaria do DNIT n. 1.977, de 25 de outubro de 2017, publicada no Diário Oficial da União (26,939 + 0,253 x D) =  [(26,939*(589,906/270,237))+(0,253*589,906/270,237)*488] x 1,17=</t>
  </si>
  <si>
    <t>Cronograma Financeiro</t>
  </si>
  <si>
    <t>Cronograma Fisico</t>
  </si>
  <si>
    <t>Dimensões</t>
  </si>
  <si>
    <t>Profundidade (m)</t>
  </si>
  <si>
    <t>ORÇAMENTO</t>
  </si>
  <si>
    <t>AQUISIÇÃO DE BRITA GRADUADA SIMPLES</t>
  </si>
  <si>
    <t>PLANILHA DE CÁLCULO DE QUANTITATIVOS DE TERRAPLENAGEM</t>
  </si>
  <si>
    <t>1.3</t>
  </si>
  <si>
    <t>SINAPI 03/26</t>
  </si>
  <si>
    <t>RUA PARANÁ</t>
  </si>
  <si>
    <t>Coef. n :</t>
  </si>
  <si>
    <t>ACESSO Á RUA PARANÁ</t>
  </si>
  <si>
    <t>LIMPA RODAS - RUA 168</t>
  </si>
  <si>
    <t>LIMPA RODAS - RUA 213</t>
  </si>
  <si>
    <t>SINALIZAÇÃO VERTICAL - PLACA DE ADVERTÊNCIA</t>
  </si>
  <si>
    <t>LOMBADA</t>
  </si>
  <si>
    <t>LOMBADA Á 100m</t>
  </si>
  <si>
    <t>LOMBADA Á 50m</t>
  </si>
  <si>
    <t>BAIRRO: ESPIGÃO GRANDE</t>
  </si>
  <si>
    <t>AQUISIÇÃO DE PÓ DE PEDRA (POSTO PEDREIRA/FORNECEDOR, SEM FRETE)</t>
  </si>
  <si>
    <t>AQUISIÇÃO DE PEDRA DE MAO OU PEDRA RACHAO PARA ARRIMO/FUNDACAO (POSTO PEDREIRA/FORNECEDOR, SEM FRETE)</t>
  </si>
  <si>
    <t>SINALIZAÇÃO VERTICAL - PLACA DE IDENTIFICAÇÃO DE RUA</t>
  </si>
  <si>
    <t>PLACA DE IDENTIFICAÇÃO DE RUA</t>
  </si>
  <si>
    <t>FAIXA DE LOMBADA</t>
  </si>
  <si>
    <t>RUA PARANÁ - TRECHO 01</t>
  </si>
  <si>
    <t>BAIRRO: VILA BEATRIZ</t>
  </si>
  <si>
    <t>PAVIMENTAÇÃO COM PAVER NA ESCOLA 12 DE MAIO</t>
  </si>
  <si>
    <t>OBS.: SINAPI SEM DESONERAÇÃO - FLORIANÓPOLIS/SC</t>
  </si>
  <si>
    <t>_____________________________________________</t>
  </si>
  <si>
    <t>1.4</t>
  </si>
  <si>
    <t>Nome: VINICIUS LUMERTZ MENGUE</t>
  </si>
  <si>
    <t>Registro: 208723-7</t>
  </si>
  <si>
    <t>RUA ANTÔNIO MACHADO</t>
  </si>
  <si>
    <t>PAVIMENTAÇÃO EM PAVER DA ESCOLA DE EDUCAÇÃO BÁSICA 12 DE MAIO</t>
  </si>
  <si>
    <t>ESCOLA DE EDUCAÇÃO BÁSICA MUNICIPAL 12 DE MAIO</t>
  </si>
  <si>
    <t>%</t>
  </si>
  <si>
    <t>R$</t>
  </si>
  <si>
    <t>ACUMULADO</t>
  </si>
  <si>
    <t>REGULARIZAÇÃO E COMPACTAÇÃO DE SUBLEITO DE SOLO PREDOMINANTEMENTE ARENOSO, PARA OBRAS DE CONSTRUÇÃO DE PAVIMENTOS.</t>
  </si>
  <si>
    <t>Evânio Macalossi</t>
  </si>
  <si>
    <t>Diretor do Departamento de Obras</t>
  </si>
  <si>
    <t>EXECUÇÃO DE PAVIMENTO EM PISO INTERTRAVADO, COM BLOCO 16 FACES DE 22 X 11 CM, ESPESSURA 8 CM, INCLUSO MATERIAL E MÃO DE OBRA.</t>
  </si>
  <si>
    <t>ASSENTAMENTO DE GUIA (MEIO-FIO) EM TRECHO RETO, CONFECCIONADA EM CONCRETO PRÉ-FABRICADO, DIMENSÕES 100X15X13X30 CM (COMPRIMENTO X BASE INFERIOR X BASE SUPERIOR X ALTURA), INCLUSO MATERIAL E MÃO DE OBRA.</t>
  </si>
  <si>
    <t xml:space="preserve">DATA BASE DO ORÇAMENTO: 06/2026 </t>
  </si>
  <si>
    <t>ESCAVAÇÃO VERTICAL PARA INFRAESTRUTURA, COM CARGA, DESCARGA E TRANSPORTE DE SOLO DE 1ª CATEGORIA, COM ESCAVADEIRA HIDRÁULICA (CAÇAMBA: 0,8 M³ / 111HP), FROTA DE 3 CAMINHÕES BASCULANTES DE 10 M³, DMT ATÉ 1 KM E VELOCIDADE MÉDIA14 KM/H.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</si>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</sst>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* #,##0_-;\-* #,##0_-;_-* &quot;-&quot;??_-;_-@_-"/>
    <numFmt numFmtId="166" formatCode="0.000"/>
    <numFmt numFmtId="167" formatCode="&quot;R$&quot;\ #,##0.00"/>
    <numFmt numFmtId="168" formatCode="[$R$-416]\ #,##0.00;\-[$R$-416]\ #,##0.00"/>
    <numFmt numFmtId="169" formatCode="0.0000"/>
    <numFmt numFmtId="170" formatCode="0.00000"/>
    <numFmt numFmtId="171" formatCode="&quot;R$&quot;0.00"/>
    <numFmt numFmtId="172" formatCode="#,##0.000"/>
    <numFmt numFmtId="173" formatCode="_(* #,##0.00_);_(* \(#,##0.00\);_(* &quot;-&quot;??_);_(@_)"/>
    <numFmt numFmtId="174" formatCode="_(* #,##0_);_(* \(#,##0\);_(* &quot;-&quot;??_);_(@_)"/>
    <numFmt numFmtId="175" formatCode="0.000000000000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el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sz val="9"/>
      <color theme="9" tint="-0.249977111117893"/>
      <name val="Arial"/>
      <family val="2"/>
    </font>
    <font>
      <sz val="11"/>
      <color theme="9" tint="-0.249977111117893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</font>
    <font>
      <b/>
      <sz val="11.5"/>
      <name val="Calibri"/>
      <family val="2"/>
    </font>
    <font>
      <b/>
      <sz val="10"/>
      <color rgb="FFFF0000"/>
      <name val="Calibri"/>
      <family val="2"/>
      <scheme val="minor"/>
    </font>
    <font>
      <sz val="7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ourier New"/>
      <family val="3"/>
    </font>
    <font>
      <b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theme="1"/>
      <name val="Arial"/>
      <family val="2"/>
    </font>
    <font>
      <b/>
      <sz val="10.5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indexed="81"/>
      <name val="Segoe UI"/>
      <family val="2"/>
    </font>
    <font>
      <b/>
      <sz val="22"/>
      <color indexed="81"/>
      <name val="Segoe UI"/>
      <family val="2"/>
    </font>
    <font>
      <b/>
      <sz val="9"/>
      <color indexed="81"/>
      <name val="Segoe UI"/>
      <family val="2"/>
    </font>
    <font>
      <sz val="8"/>
      <color indexed="10"/>
      <name val="Calibri"/>
      <family val="2"/>
      <scheme val="minor"/>
    </font>
    <font>
      <u/>
      <sz val="12"/>
      <name val="Calibri"/>
      <family val="2"/>
    </font>
    <font>
      <sz val="26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7030A0"/>
      </left>
      <right style="thin">
        <color auto="1"/>
      </right>
      <top style="medium">
        <color rgb="FF7030A0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rgb="FF7030A0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26" fillId="0" borderId="0"/>
    <xf numFmtId="0" fontId="31" fillId="0" borderId="0"/>
    <xf numFmtId="0" fontId="3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35" fillId="0" borderId="0"/>
    <xf numFmtId="17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47" fillId="0" borderId="0"/>
    <xf numFmtId="17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4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4" fontId="0" fillId="0" borderId="8" xfId="0" applyNumberFormat="1" applyBorder="1"/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0" xfId="0" applyFill="1" applyBorder="1"/>
    <xf numFmtId="44" fontId="0" fillId="0" borderId="0" xfId="0" applyNumberFormat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43" fontId="1" fillId="2" borderId="1" xfId="2" applyFont="1" applyFill="1" applyBorder="1"/>
    <xf numFmtId="0" fontId="0" fillId="0" borderId="6" xfId="0" applyBorder="1"/>
    <xf numFmtId="0" fontId="0" fillId="0" borderId="9" xfId="0" applyBorder="1"/>
    <xf numFmtId="0" fontId="0" fillId="0" borderId="0" xfId="0" applyFont="1"/>
    <xf numFmtId="164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Border="1" applyAlignment="1">
      <alignment horizontal="right"/>
    </xf>
    <xf numFmtId="0" fontId="6" fillId="0" borderId="0" xfId="4" applyFont="1"/>
    <xf numFmtId="0" fontId="6" fillId="0" borderId="0" xfId="4" applyFont="1" applyBorder="1" applyAlignment="1">
      <alignment horizontal="center"/>
    </xf>
    <xf numFmtId="0" fontId="6" fillId="0" borderId="0" xfId="4" applyFont="1" applyFill="1"/>
    <xf numFmtId="2" fontId="10" fillId="0" borderId="1" xfId="4" applyNumberFormat="1" applyFont="1" applyFill="1" applyBorder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5" fillId="0" borderId="0" xfId="0" applyFont="1"/>
    <xf numFmtId="0" fontId="14" fillId="0" borderId="0" xfId="0" applyFont="1"/>
    <xf numFmtId="0" fontId="14" fillId="0" borderId="10" xfId="0" applyFont="1" applyBorder="1"/>
    <xf numFmtId="0" fontId="14" fillId="0" borderId="1" xfId="0" applyFont="1" applyBorder="1" applyAlignment="1">
      <alignment horizontal="center" vertical="center"/>
    </xf>
    <xf numFmtId="10" fontId="14" fillId="0" borderId="1" xfId="3" applyNumberFormat="1" applyFont="1" applyBorder="1" applyAlignment="1">
      <alignment horizontal="center" vertical="center"/>
    </xf>
    <xf numFmtId="0" fontId="18" fillId="0" borderId="0" xfId="0" applyFont="1"/>
    <xf numFmtId="0" fontId="14" fillId="0" borderId="39" xfId="0" applyFont="1" applyBorder="1"/>
    <xf numFmtId="0" fontId="14" fillId="0" borderId="40" xfId="0" applyFont="1" applyBorder="1" applyAlignment="1">
      <alignment horizontal="center" vertical="center"/>
    </xf>
    <xf numFmtId="10" fontId="14" fillId="0" borderId="25" xfId="3" applyNumberFormat="1" applyFont="1" applyBorder="1" applyAlignment="1">
      <alignment horizontal="center" vertical="center"/>
    </xf>
    <xf numFmtId="10" fontId="14" fillId="0" borderId="41" xfId="3" applyNumberFormat="1" applyFont="1" applyBorder="1"/>
    <xf numFmtId="10" fontId="14" fillId="0" borderId="42" xfId="3" applyNumberFormat="1" applyFont="1" applyBorder="1"/>
    <xf numFmtId="0" fontId="14" fillId="0" borderId="43" xfId="0" applyFont="1" applyBorder="1" applyAlignment="1">
      <alignment horizontal="center" vertical="center"/>
    </xf>
    <xf numFmtId="0" fontId="14" fillId="0" borderId="43" xfId="0" applyFont="1" applyBorder="1"/>
    <xf numFmtId="10" fontId="14" fillId="0" borderId="44" xfId="3" applyNumberFormat="1" applyFont="1" applyBorder="1" applyAlignment="1">
      <alignment horizontal="center" vertical="center"/>
    </xf>
    <xf numFmtId="0" fontId="20" fillId="0" borderId="0" xfId="0" applyFont="1"/>
    <xf numFmtId="0" fontId="14" fillId="0" borderId="5" xfId="0" applyFont="1" applyBorder="1"/>
    <xf numFmtId="0" fontId="14" fillId="0" borderId="0" xfId="0" applyFont="1" applyBorder="1"/>
    <xf numFmtId="0" fontId="14" fillId="0" borderId="6" xfId="0" applyFont="1" applyBorder="1"/>
    <xf numFmtId="0" fontId="21" fillId="0" borderId="0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18" fillId="0" borderId="8" xfId="0" applyFont="1" applyBorder="1"/>
    <xf numFmtId="0" fontId="18" fillId="0" borderId="5" xfId="0" applyFont="1" applyBorder="1"/>
    <xf numFmtId="0" fontId="18" fillId="0" borderId="0" xfId="0" applyFont="1" applyBorder="1"/>
    <xf numFmtId="0" fontId="18" fillId="0" borderId="6" xfId="0" applyFont="1" applyBorder="1"/>
    <xf numFmtId="0" fontId="18" fillId="0" borderId="7" xfId="0" applyFont="1" applyBorder="1" applyAlignment="1"/>
    <xf numFmtId="0" fontId="18" fillId="0" borderId="8" xfId="0" applyFont="1" applyBorder="1" applyAlignment="1"/>
    <xf numFmtId="0" fontId="18" fillId="0" borderId="9" xfId="0" applyFont="1" applyBorder="1" applyAlignment="1"/>
    <xf numFmtId="0" fontId="18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0" fillId="0" borderId="0" xfId="4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0" fillId="0" borderId="0" xfId="2" applyNumberFormat="1" applyFont="1" applyFill="1" applyBorder="1" applyAlignment="1">
      <alignment horizontal="right" vertical="center"/>
    </xf>
    <xf numFmtId="4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/>
    <xf numFmtId="4" fontId="10" fillId="0" borderId="1" xfId="4" applyNumberFormat="1" applyFont="1" applyFill="1" applyBorder="1" applyAlignment="1">
      <alignment horizontal="center" vertical="center"/>
    </xf>
    <xf numFmtId="9" fontId="0" fillId="4" borderId="1" xfId="3" applyFont="1" applyFill="1" applyBorder="1"/>
    <xf numFmtId="9" fontId="0" fillId="2" borderId="1" xfId="3" applyFont="1" applyFill="1" applyBorder="1"/>
    <xf numFmtId="0" fontId="0" fillId="4" borderId="1" xfId="0" applyFont="1" applyFill="1" applyBorder="1"/>
    <xf numFmtId="0" fontId="0" fillId="0" borderId="0" xfId="0" applyAlignment="1">
      <alignment vertical="center"/>
    </xf>
    <xf numFmtId="0" fontId="29" fillId="2" borderId="0" xfId="0" applyFont="1" applyFill="1" applyBorder="1"/>
    <xf numFmtId="43" fontId="0" fillId="0" borderId="0" xfId="2" applyFont="1"/>
    <xf numFmtId="0" fontId="29" fillId="0" borderId="0" xfId="0" applyFont="1"/>
    <xf numFmtId="44" fontId="0" fillId="0" borderId="0" xfId="0" applyNumberFormat="1"/>
    <xf numFmtId="0" fontId="0" fillId="0" borderId="0" xfId="0" applyAlignment="1">
      <alignment horizontal="center"/>
    </xf>
    <xf numFmtId="0" fontId="6" fillId="0" borderId="0" xfId="11" applyFont="1"/>
    <xf numFmtId="0" fontId="6" fillId="0" borderId="32" xfId="11" applyFont="1" applyFill="1" applyBorder="1"/>
    <xf numFmtId="0" fontId="6" fillId="0" borderId="33" xfId="11" applyFont="1" applyFill="1" applyBorder="1"/>
    <xf numFmtId="0" fontId="6" fillId="0" borderId="21" xfId="11" applyFont="1" applyFill="1" applyBorder="1"/>
    <xf numFmtId="0" fontId="6" fillId="0" borderId="22" xfId="11" applyFont="1" applyFill="1" applyBorder="1"/>
    <xf numFmtId="0" fontId="10" fillId="0" borderId="17" xfId="11" applyFont="1" applyBorder="1" applyAlignment="1">
      <alignment horizontal="center"/>
    </xf>
    <xf numFmtId="0" fontId="10" fillId="0" borderId="0" xfId="11" applyFont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37" fillId="0" borderId="0" xfId="11" applyFont="1" applyFill="1"/>
    <xf numFmtId="0" fontId="37" fillId="0" borderId="0" xfId="11" applyFont="1"/>
    <xf numFmtId="0" fontId="36" fillId="0" borderId="35" xfId="11" applyFont="1" applyBorder="1" applyAlignment="1">
      <alignment horizontal="center" vertical="center"/>
    </xf>
    <xf numFmtId="0" fontId="6" fillId="0" borderId="0" xfId="11" applyFont="1" applyFill="1"/>
    <xf numFmtId="0" fontId="6" fillId="0" borderId="46" xfId="11" applyFont="1" applyBorder="1"/>
    <xf numFmtId="0" fontId="6" fillId="0" borderId="0" xfId="11" applyFont="1" applyBorder="1"/>
    <xf numFmtId="0" fontId="7" fillId="3" borderId="19" xfId="11" applyFont="1" applyFill="1" applyBorder="1" applyAlignment="1">
      <alignment horizontal="center" vertical="center" wrapText="1"/>
    </xf>
    <xf numFmtId="0" fontId="7" fillId="3" borderId="1" xfId="11" applyFont="1" applyFill="1" applyBorder="1" applyAlignment="1">
      <alignment horizontal="center" vertical="center" wrapText="1"/>
    </xf>
    <xf numFmtId="0" fontId="7" fillId="3" borderId="20" xfId="11" applyFont="1" applyFill="1" applyBorder="1" applyAlignment="1">
      <alignment horizontal="center" vertical="center" wrapText="1"/>
    </xf>
    <xf numFmtId="1" fontId="6" fillId="0" borderId="28" xfId="11" applyNumberFormat="1" applyFont="1" applyFill="1" applyBorder="1" applyAlignment="1">
      <alignment horizontal="center" vertical="center"/>
    </xf>
    <xf numFmtId="174" fontId="6" fillId="0" borderId="29" xfId="12" applyNumberFormat="1" applyFont="1" applyFill="1" applyBorder="1" applyAlignment="1">
      <alignment horizontal="center" vertical="center"/>
    </xf>
    <xf numFmtId="166" fontId="6" fillId="0" borderId="29" xfId="11" applyNumberFormat="1" applyFont="1" applyFill="1" applyBorder="1" applyAlignment="1">
      <alignment horizontal="center" vertical="center"/>
    </xf>
    <xf numFmtId="2" fontId="6" fillId="0" borderId="29" xfId="13" applyNumberFormat="1" applyFont="1" applyFill="1" applyBorder="1" applyAlignment="1">
      <alignment horizontal="center" vertical="center"/>
    </xf>
    <xf numFmtId="1" fontId="6" fillId="0" borderId="29" xfId="11" applyNumberFormat="1" applyFont="1" applyFill="1" applyBorder="1" applyAlignment="1">
      <alignment horizontal="center" vertical="center"/>
    </xf>
    <xf numFmtId="2" fontId="6" fillId="0" borderId="29" xfId="11" applyNumberFormat="1" applyFont="1" applyFill="1" applyBorder="1" applyAlignment="1">
      <alignment horizontal="center" vertical="center"/>
    </xf>
    <xf numFmtId="0" fontId="6" fillId="0" borderId="29" xfId="11" applyFont="1" applyFill="1" applyBorder="1" applyAlignment="1">
      <alignment horizontal="center"/>
    </xf>
    <xf numFmtId="172" fontId="38" fillId="2" borderId="35" xfId="11" applyNumberFormat="1" applyFont="1" applyFill="1" applyBorder="1" applyAlignment="1">
      <alignment horizontal="center"/>
    </xf>
    <xf numFmtId="0" fontId="6" fillId="0" borderId="31" xfId="11" applyFont="1" applyFill="1" applyBorder="1"/>
    <xf numFmtId="0" fontId="6" fillId="0" borderId="46" xfId="11" applyFont="1" applyFill="1" applyBorder="1"/>
    <xf numFmtId="2" fontId="7" fillId="0" borderId="46" xfId="11" applyNumberFormat="1" applyFont="1" applyFill="1" applyBorder="1" applyAlignment="1">
      <alignment horizontal="left" vertical="center"/>
    </xf>
    <xf numFmtId="4" fontId="7" fillId="0" borderId="46" xfId="11" applyNumberFormat="1" applyFont="1" applyFill="1" applyBorder="1" applyAlignment="1">
      <alignment horizontal="center"/>
    </xf>
    <xf numFmtId="2" fontId="7" fillId="0" borderId="46" xfId="11" applyNumberFormat="1" applyFont="1" applyFill="1" applyBorder="1" applyAlignment="1">
      <alignment horizontal="center"/>
    </xf>
    <xf numFmtId="2" fontId="7" fillId="0" borderId="46" xfId="11" applyNumberFormat="1" applyFont="1" applyFill="1" applyBorder="1" applyAlignment="1">
      <alignment horizontal="right" vertical="center"/>
    </xf>
    <xf numFmtId="4" fontId="7" fillId="0" borderId="13" xfId="11" applyNumberFormat="1" applyFont="1" applyFill="1" applyBorder="1" applyAlignment="1">
      <alignment horizontal="center"/>
    </xf>
    <xf numFmtId="0" fontId="7" fillId="3" borderId="27" xfId="11" applyFont="1" applyFill="1" applyBorder="1" applyAlignment="1">
      <alignment horizontal="center" vertical="center" wrapText="1"/>
    </xf>
    <xf numFmtId="0" fontId="39" fillId="3" borderId="45" xfId="11" applyFont="1" applyFill="1" applyBorder="1" applyAlignment="1">
      <alignment horizontal="center" vertical="center" wrapText="1"/>
    </xf>
    <xf numFmtId="169" fontId="38" fillId="0" borderId="35" xfId="11" applyNumberFormat="1" applyFont="1" applyFill="1" applyBorder="1" applyAlignment="1">
      <alignment horizontal="center" vertical="center"/>
    </xf>
    <xf numFmtId="166" fontId="6" fillId="0" borderId="0" xfId="11" applyNumberFormat="1" applyFont="1" applyFill="1"/>
    <xf numFmtId="10" fontId="6" fillId="0" borderId="0" xfId="13" applyNumberFormat="1" applyFont="1" applyFill="1"/>
    <xf numFmtId="2" fontId="7" fillId="0" borderId="33" xfId="11" applyNumberFormat="1" applyFont="1" applyFill="1" applyBorder="1" applyAlignment="1">
      <alignment horizontal="left" vertical="center"/>
    </xf>
    <xf numFmtId="4" fontId="7" fillId="0" borderId="33" xfId="11" applyNumberFormat="1" applyFont="1" applyFill="1" applyBorder="1" applyAlignment="1">
      <alignment horizontal="center"/>
    </xf>
    <xf numFmtId="2" fontId="7" fillId="0" borderId="33" xfId="11" applyNumberFormat="1" applyFont="1" applyFill="1" applyBorder="1" applyAlignment="1">
      <alignment horizontal="center"/>
    </xf>
    <xf numFmtId="2" fontId="7" fillId="0" borderId="33" xfId="11" applyNumberFormat="1" applyFont="1" applyFill="1" applyBorder="1" applyAlignment="1">
      <alignment horizontal="right" vertical="center"/>
    </xf>
    <xf numFmtId="4" fontId="41" fillId="0" borderId="24" xfId="11" applyNumberFormat="1" applyFont="1" applyFill="1" applyBorder="1" applyAlignment="1">
      <alignment horizontal="right"/>
    </xf>
    <xf numFmtId="0" fontId="6" fillId="0" borderId="17" xfId="11" applyFont="1" applyFill="1" applyBorder="1"/>
    <xf numFmtId="0" fontId="6" fillId="0" borderId="0" xfId="11" applyFont="1" applyFill="1" applyBorder="1"/>
    <xf numFmtId="2" fontId="7" fillId="0" borderId="0" xfId="11" applyNumberFormat="1" applyFont="1" applyFill="1" applyBorder="1" applyAlignment="1">
      <alignment horizontal="left" vertical="center"/>
    </xf>
    <xf numFmtId="4" fontId="7" fillId="0" borderId="0" xfId="11" applyNumberFormat="1" applyFont="1" applyFill="1" applyBorder="1" applyAlignment="1">
      <alignment horizontal="center"/>
    </xf>
    <xf numFmtId="2" fontId="7" fillId="0" borderId="0" xfId="11" applyNumberFormat="1" applyFont="1" applyFill="1" applyBorder="1" applyAlignment="1">
      <alignment horizontal="center"/>
    </xf>
    <xf numFmtId="2" fontId="7" fillId="0" borderId="0" xfId="11" applyNumberFormat="1" applyFont="1" applyFill="1" applyBorder="1" applyAlignment="1">
      <alignment horizontal="right" vertical="center"/>
    </xf>
    <xf numFmtId="4" fontId="7" fillId="0" borderId="18" xfId="11" applyNumberFormat="1" applyFont="1" applyFill="1" applyBorder="1" applyAlignment="1">
      <alignment horizontal="center"/>
    </xf>
    <xf numFmtId="2" fontId="6" fillId="0" borderId="22" xfId="11" applyNumberFormat="1" applyFont="1" applyFill="1" applyBorder="1" applyAlignment="1">
      <alignment horizontal="center" vertical="center"/>
    </xf>
    <xf numFmtId="2" fontId="7" fillId="0" borderId="22" xfId="11" applyNumberFormat="1" applyFont="1" applyFill="1" applyBorder="1" applyAlignment="1">
      <alignment horizontal="center"/>
    </xf>
    <xf numFmtId="10" fontId="6" fillId="0" borderId="23" xfId="11" applyNumberFormat="1" applyFont="1" applyFill="1" applyBorder="1" applyAlignment="1">
      <alignment horizontal="center"/>
    </xf>
    <xf numFmtId="4" fontId="41" fillId="0" borderId="18" xfId="11" applyNumberFormat="1" applyFont="1" applyFill="1" applyBorder="1" applyAlignment="1">
      <alignment horizontal="right"/>
    </xf>
    <xf numFmtId="0" fontId="6" fillId="0" borderId="1" xfId="11" applyFont="1" applyBorder="1" applyAlignment="1">
      <alignment horizontal="center"/>
    </xf>
    <xf numFmtId="4" fontId="6" fillId="0" borderId="1" xfId="11" applyNumberFormat="1" applyFont="1" applyBorder="1" applyAlignment="1">
      <alignment horizontal="center"/>
    </xf>
    <xf numFmtId="172" fontId="6" fillId="0" borderId="1" xfId="11" applyNumberFormat="1" applyFont="1" applyBorder="1" applyAlignment="1">
      <alignment horizontal="center"/>
    </xf>
    <xf numFmtId="0" fontId="6" fillId="0" borderId="0" xfId="11" applyFont="1" applyAlignment="1">
      <alignment horizontal="center"/>
    </xf>
    <xf numFmtId="166" fontId="0" fillId="0" borderId="0" xfId="0" applyNumberFormat="1" applyAlignment="1">
      <alignment horizontal="center"/>
    </xf>
    <xf numFmtId="0" fontId="8" fillId="0" borderId="33" xfId="4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4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43" fillId="0" borderId="0" xfId="0" applyFont="1"/>
    <xf numFmtId="0" fontId="43" fillId="0" borderId="0" xfId="0" applyFont="1" applyBorder="1"/>
    <xf numFmtId="0" fontId="44" fillId="0" borderId="0" xfId="0" applyFont="1"/>
    <xf numFmtId="0" fontId="14" fillId="0" borderId="4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0" fontId="14" fillId="0" borderId="30" xfId="3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46" fillId="0" borderId="0" xfId="0" applyFont="1" applyBorder="1"/>
    <xf numFmtId="0" fontId="46" fillId="0" borderId="0" xfId="0" applyFont="1" applyBorder="1" applyAlignment="1">
      <alignment horizontal="center"/>
    </xf>
    <xf numFmtId="0" fontId="46" fillId="0" borderId="0" xfId="0" applyFont="1" applyBorder="1" applyAlignment="1">
      <alignment horizontal="left"/>
    </xf>
    <xf numFmtId="44" fontId="46" fillId="0" borderId="0" xfId="1" applyFont="1" applyBorder="1" applyAlignment="1">
      <alignment horizontal="center"/>
    </xf>
    <xf numFmtId="14" fontId="0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46" fillId="0" borderId="5" xfId="0" applyFont="1" applyBorder="1"/>
    <xf numFmtId="0" fontId="46" fillId="0" borderId="6" xfId="0" applyFont="1" applyBorder="1" applyAlignment="1">
      <alignment horizontal="center"/>
    </xf>
    <xf numFmtId="0" fontId="43" fillId="0" borderId="1" xfId="0" applyFont="1" applyBorder="1" applyAlignment="1">
      <alignment horizontal="center" vertical="center" wrapText="1"/>
    </xf>
    <xf numFmtId="166" fontId="43" fillId="0" borderId="1" xfId="0" applyNumberFormat="1" applyFont="1" applyBorder="1" applyAlignment="1">
      <alignment horizontal="center" vertical="center" wrapText="1"/>
    </xf>
    <xf numFmtId="166" fontId="43" fillId="0" borderId="1" xfId="0" applyNumberFormat="1" applyFont="1" applyBorder="1" applyAlignment="1">
      <alignment horizontal="center"/>
    </xf>
    <xf numFmtId="0" fontId="43" fillId="0" borderId="3" xfId="0" applyFont="1" applyBorder="1" applyAlignment="1">
      <alignment horizontal="center"/>
    </xf>
    <xf numFmtId="166" fontId="43" fillId="0" borderId="3" xfId="0" applyNumberFormat="1" applyFont="1" applyBorder="1" applyAlignment="1">
      <alignment horizontal="center"/>
    </xf>
    <xf numFmtId="172" fontId="43" fillId="0" borderId="1" xfId="0" applyNumberFormat="1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166" fontId="43" fillId="0" borderId="0" xfId="0" applyNumberFormat="1" applyFont="1" applyBorder="1" applyAlignment="1">
      <alignment horizontal="center"/>
    </xf>
    <xf numFmtId="0" fontId="38" fillId="0" borderId="0" xfId="4" applyFont="1"/>
    <xf numFmtId="0" fontId="38" fillId="0" borderId="0" xfId="4" applyFont="1" applyFill="1"/>
    <xf numFmtId="0" fontId="0" fillId="0" borderId="0" xfId="0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/>
    </xf>
    <xf numFmtId="0" fontId="6" fillId="0" borderId="0" xfId="19" applyFont="1"/>
    <xf numFmtId="0" fontId="50" fillId="0" borderId="0" xfId="19" applyFont="1"/>
    <xf numFmtId="0" fontId="50" fillId="0" borderId="5" xfId="19" applyFont="1" applyBorder="1" applyAlignment="1">
      <alignment horizontal="right" vertical="center"/>
    </xf>
    <xf numFmtId="0" fontId="50" fillId="8" borderId="0" xfId="19" applyFont="1" applyFill="1" applyBorder="1" applyAlignment="1" applyProtection="1">
      <alignment horizontal="center" vertical="center"/>
      <protection locked="0"/>
    </xf>
    <xf numFmtId="0" fontId="50" fillId="0" borderId="6" xfId="19" applyFont="1" applyBorder="1" applyAlignment="1">
      <alignment vertical="center"/>
    </xf>
    <xf numFmtId="0" fontId="50" fillId="0" borderId="10" xfId="19" applyFont="1" applyBorder="1" applyAlignment="1">
      <alignment horizontal="right" vertical="center"/>
    </xf>
    <xf numFmtId="0" fontId="50" fillId="8" borderId="12" xfId="19" applyFont="1" applyFill="1" applyBorder="1" applyAlignment="1" applyProtection="1">
      <alignment horizontal="left" vertical="center"/>
      <protection locked="0"/>
    </xf>
    <xf numFmtId="0" fontId="50" fillId="0" borderId="0" xfId="19" applyFont="1" applyBorder="1" applyAlignment="1">
      <alignment horizontal="right" vertical="center"/>
    </xf>
    <xf numFmtId="2" fontId="50" fillId="8" borderId="6" xfId="19" applyNumberFormat="1" applyFont="1" applyFill="1" applyBorder="1" applyAlignment="1" applyProtection="1">
      <alignment horizontal="left" vertical="center"/>
      <protection locked="0"/>
    </xf>
    <xf numFmtId="0" fontId="50" fillId="9" borderId="0" xfId="19" applyFont="1" applyFill="1" applyBorder="1" applyAlignment="1">
      <alignment horizontal="left" vertical="center"/>
    </xf>
    <xf numFmtId="0" fontId="50" fillId="9" borderId="12" xfId="19" applyFont="1" applyFill="1" applyBorder="1" applyAlignment="1">
      <alignment horizontal="left" vertical="center"/>
    </xf>
    <xf numFmtId="0" fontId="50" fillId="0" borderId="0" xfId="19" applyFont="1" applyBorder="1" applyAlignment="1">
      <alignment vertical="center"/>
    </xf>
    <xf numFmtId="0" fontId="50" fillId="0" borderId="0" xfId="19" applyFont="1" applyAlignment="1">
      <alignment horizontal="center"/>
    </xf>
    <xf numFmtId="1" fontId="12" fillId="2" borderId="1" xfId="19" applyNumberFormat="1" applyFont="1" applyFill="1" applyBorder="1" applyAlignment="1" applyProtection="1">
      <alignment horizontal="center" vertical="center"/>
      <protection locked="0"/>
    </xf>
    <xf numFmtId="4" fontId="12" fillId="2" borderId="1" xfId="19" applyNumberFormat="1" applyFont="1" applyFill="1" applyBorder="1" applyAlignment="1" applyProtection="1">
      <alignment horizontal="center" vertical="center"/>
      <protection locked="0"/>
    </xf>
    <xf numFmtId="172" fontId="12" fillId="2" borderId="1" xfId="19" applyNumberFormat="1" applyFont="1" applyFill="1" applyBorder="1" applyAlignment="1">
      <alignment horizontal="center" vertical="center"/>
    </xf>
    <xf numFmtId="166" fontId="12" fillId="2" borderId="1" xfId="19" applyNumberFormat="1" applyFont="1" applyFill="1" applyBorder="1" applyAlignment="1" applyProtection="1">
      <alignment horizontal="center" vertical="center"/>
      <protection locked="0"/>
    </xf>
    <xf numFmtId="166" fontId="12" fillId="2" borderId="1" xfId="19" applyNumberFormat="1" applyFont="1" applyFill="1" applyBorder="1" applyAlignment="1">
      <alignment horizontal="center" vertical="center"/>
    </xf>
    <xf numFmtId="2" fontId="12" fillId="2" borderId="1" xfId="19" applyNumberFormat="1" applyFont="1" applyFill="1" applyBorder="1" applyAlignment="1" applyProtection="1">
      <alignment horizontal="center" vertical="center"/>
      <protection locked="0"/>
    </xf>
    <xf numFmtId="1" fontId="12" fillId="2" borderId="1" xfId="19" applyNumberFormat="1" applyFont="1" applyFill="1" applyBorder="1" applyAlignment="1">
      <alignment horizontal="center" vertical="center"/>
    </xf>
    <xf numFmtId="2" fontId="10" fillId="0" borderId="10" xfId="4" applyNumberFormat="1" applyFont="1" applyFill="1" applyBorder="1" applyAlignment="1">
      <alignment horizontal="right" vertical="center"/>
    </xf>
    <xf numFmtId="4" fontId="10" fillId="0" borderId="1" xfId="4" applyNumberFormat="1" applyFont="1" applyFill="1" applyBorder="1" applyAlignment="1">
      <alignment horizontal="center"/>
    </xf>
    <xf numFmtId="2" fontId="12" fillId="0" borderId="1" xfId="19" applyNumberFormat="1" applyFont="1" applyFill="1" applyBorder="1" applyAlignment="1">
      <alignment horizontal="center" vertical="center"/>
    </xf>
    <xf numFmtId="1" fontId="10" fillId="0" borderId="1" xfId="18" applyNumberFormat="1" applyFont="1" applyFill="1" applyBorder="1" applyAlignment="1">
      <alignment horizontal="center" vertical="center"/>
    </xf>
    <xf numFmtId="2" fontId="10" fillId="0" borderId="1" xfId="18" applyNumberFormat="1" applyFont="1" applyFill="1" applyBorder="1" applyAlignment="1">
      <alignment horizontal="center" vertical="center"/>
    </xf>
    <xf numFmtId="2" fontId="10" fillId="0" borderId="1" xfId="18" applyNumberFormat="1" applyFont="1" applyFill="1" applyBorder="1" applyAlignment="1">
      <alignment horizontal="center"/>
    </xf>
    <xf numFmtId="3" fontId="10" fillId="0" borderId="1" xfId="18" applyNumberFormat="1" applyFont="1" applyFill="1" applyBorder="1" applyAlignment="1">
      <alignment horizontal="center" vertical="center"/>
    </xf>
    <xf numFmtId="17" fontId="0" fillId="0" borderId="11" xfId="0" applyNumberFormat="1" applyFont="1" applyFill="1" applyBorder="1" applyAlignment="1">
      <alignment horizontal="left" vertical="top" wrapText="1"/>
    </xf>
    <xf numFmtId="0" fontId="0" fillId="2" borderId="10" xfId="0" applyFont="1" applyFill="1" applyBorder="1"/>
    <xf numFmtId="0" fontId="0" fillId="2" borderId="11" xfId="0" applyFont="1" applyFill="1" applyBorder="1"/>
    <xf numFmtId="10" fontId="0" fillId="4" borderId="1" xfId="0" applyNumberFormat="1" applyFont="1" applyFill="1" applyBorder="1"/>
    <xf numFmtId="10" fontId="1" fillId="2" borderId="1" xfId="2" applyNumberFormat="1" applyFont="1" applyFill="1" applyBorder="1"/>
    <xf numFmtId="0" fontId="43" fillId="0" borderId="2" xfId="0" applyFont="1" applyBorder="1" applyAlignment="1">
      <alignment horizontal="center"/>
    </xf>
    <xf numFmtId="1" fontId="10" fillId="0" borderId="0" xfId="4" applyNumberFormat="1" applyFont="1" applyFill="1" applyBorder="1" applyAlignment="1">
      <alignment horizontal="center" vertical="center"/>
    </xf>
    <xf numFmtId="2" fontId="10" fillId="0" borderId="0" xfId="4" applyNumberFormat="1" applyFont="1" applyFill="1" applyBorder="1" applyAlignment="1">
      <alignment horizontal="center" vertical="center"/>
    </xf>
    <xf numFmtId="1" fontId="10" fillId="0" borderId="1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/>
    </xf>
    <xf numFmtId="2" fontId="42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 applyAlignment="1">
      <alignment horizontal="center"/>
    </xf>
    <xf numFmtId="10" fontId="10" fillId="0" borderId="0" xfId="4" applyNumberFormat="1" applyFont="1" applyFill="1" applyBorder="1" applyAlignment="1">
      <alignment horizontal="center"/>
    </xf>
    <xf numFmtId="1" fontId="10" fillId="2" borderId="0" xfId="4" applyNumberFormat="1" applyFont="1" applyFill="1" applyBorder="1" applyAlignment="1">
      <alignment horizontal="center" vertical="center"/>
    </xf>
    <xf numFmtId="166" fontId="10" fillId="2" borderId="0" xfId="4" applyNumberFormat="1" applyFont="1" applyFill="1" applyBorder="1" applyAlignment="1">
      <alignment horizontal="center" vertical="center"/>
    </xf>
    <xf numFmtId="166" fontId="10" fillId="2" borderId="0" xfId="5" applyNumberFormat="1" applyFont="1" applyFill="1" applyBorder="1" applyAlignment="1">
      <alignment horizontal="center" vertical="center"/>
    </xf>
    <xf numFmtId="166" fontId="10" fillId="0" borderId="0" xfId="4" applyNumberFormat="1" applyFont="1" applyFill="1" applyBorder="1" applyAlignment="1">
      <alignment horizontal="center"/>
    </xf>
    <xf numFmtId="2" fontId="12" fillId="2" borderId="0" xfId="19" applyNumberFormat="1" applyFont="1" applyFill="1" applyBorder="1" applyAlignment="1" applyProtection="1">
      <alignment horizontal="center" vertical="center"/>
      <protection locked="0"/>
    </xf>
    <xf numFmtId="44" fontId="3" fillId="0" borderId="0" xfId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4" fillId="0" borderId="0" xfId="1" applyFont="1" applyFill="1" applyBorder="1" applyAlignment="1">
      <alignment horizontal="center" vertical="center"/>
    </xf>
    <xf numFmtId="44" fontId="0" fillId="0" borderId="0" xfId="1" applyFont="1" applyFill="1" applyBorder="1" applyAlignment="1">
      <alignment horizontal="right" vertic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18" applyFont="1"/>
    <xf numFmtId="0" fontId="10" fillId="0" borderId="0" xfId="18" applyFont="1" applyBorder="1" applyAlignment="1">
      <alignment horizontal="center"/>
    </xf>
    <xf numFmtId="0" fontId="6" fillId="0" borderId="0" xfId="18" applyFont="1" applyBorder="1" applyAlignment="1">
      <alignment horizontal="center"/>
    </xf>
    <xf numFmtId="4" fontId="10" fillId="0" borderId="1" xfId="18" applyNumberFormat="1" applyFont="1" applyFill="1" applyBorder="1" applyAlignment="1">
      <alignment horizontal="center" vertical="center"/>
    </xf>
    <xf numFmtId="0" fontId="6" fillId="0" borderId="0" xfId="18" applyFont="1" applyFill="1"/>
    <xf numFmtId="4" fontId="6" fillId="0" borderId="0" xfId="4" applyNumberFormat="1" applyFont="1" applyFill="1"/>
    <xf numFmtId="0" fontId="0" fillId="0" borderId="3" xfId="0" applyBorder="1" applyAlignment="1">
      <alignment horizontal="center"/>
    </xf>
    <xf numFmtId="2" fontId="10" fillId="0" borderId="1" xfId="4" applyNumberFormat="1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/>
    </xf>
    <xf numFmtId="0" fontId="10" fillId="5" borderId="1" xfId="18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0" fillId="0" borderId="0" xfId="19" applyFont="1" applyBorder="1"/>
    <xf numFmtId="14" fontId="7" fillId="0" borderId="1" xfId="6" applyNumberFormat="1" applyFont="1" applyBorder="1" applyAlignment="1">
      <alignment horizontal="center" vertical="center"/>
    </xf>
    <xf numFmtId="14" fontId="11" fillId="0" borderId="1" xfId="18" applyNumberFormat="1" applyFont="1" applyBorder="1" applyAlignment="1">
      <alignment horizontal="center" vertical="center"/>
    </xf>
    <xf numFmtId="172" fontId="10" fillId="0" borderId="1" xfId="4" applyNumberFormat="1" applyFont="1" applyFill="1" applyBorder="1" applyAlignment="1">
      <alignment horizontal="center"/>
    </xf>
    <xf numFmtId="14" fontId="11" fillId="0" borderId="1" xfId="6" applyNumberFormat="1" applyFont="1" applyBorder="1" applyAlignment="1">
      <alignment horizontal="center" vertical="center"/>
    </xf>
    <xf numFmtId="0" fontId="10" fillId="0" borderId="5" xfId="4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1" fontId="10" fillId="0" borderId="5" xfId="4" applyNumberFormat="1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/>
    </xf>
    <xf numFmtId="0" fontId="43" fillId="0" borderId="0" xfId="0" applyFont="1" applyFill="1"/>
    <xf numFmtId="0" fontId="0" fillId="0" borderId="0" xfId="0" applyFont="1" applyBorder="1"/>
    <xf numFmtId="0" fontId="50" fillId="0" borderId="10" xfId="0" applyFont="1" applyBorder="1" applyAlignment="1">
      <alignment horizontal="left"/>
    </xf>
    <xf numFmtId="0" fontId="50" fillId="0" borderId="11" xfId="0" applyFont="1" applyBorder="1" applyAlignment="1">
      <alignment horizontal="left"/>
    </xf>
    <xf numFmtId="0" fontId="50" fillId="0" borderId="11" xfId="0" applyFont="1" applyBorder="1" applyAlignment="1">
      <alignment horizontal="right"/>
    </xf>
    <xf numFmtId="0" fontId="50" fillId="0" borderId="12" xfId="0" applyFont="1" applyBorder="1" applyAlignment="1">
      <alignment horizontal="right"/>
    </xf>
    <xf numFmtId="2" fontId="55" fillId="0" borderId="1" xfId="0" applyNumberFormat="1" applyFont="1" applyBorder="1" applyAlignment="1">
      <alignment horizontal="right" vertical="center" wrapText="1"/>
    </xf>
    <xf numFmtId="0" fontId="50" fillId="0" borderId="0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right" vertical="center" wrapText="1"/>
    </xf>
    <xf numFmtId="0" fontId="53" fillId="0" borderId="7" xfId="0" applyFont="1" applyBorder="1"/>
    <xf numFmtId="0" fontId="53" fillId="0" borderId="0" xfId="0" applyFont="1" applyBorder="1"/>
    <xf numFmtId="0" fontId="53" fillId="0" borderId="6" xfId="0" applyFont="1" applyBorder="1"/>
    <xf numFmtId="0" fontId="53" fillId="0" borderId="0" xfId="0" applyFont="1"/>
    <xf numFmtId="3" fontId="10" fillId="0" borderId="1" xfId="18" applyNumberFormat="1" applyFont="1" applyFill="1" applyBorder="1" applyAlignment="1">
      <alignment horizontal="center"/>
    </xf>
    <xf numFmtId="4" fontId="10" fillId="0" borderId="1" xfId="18" applyNumberFormat="1" applyFont="1" applyFill="1" applyBorder="1" applyAlignment="1">
      <alignment horizontal="center"/>
    </xf>
    <xf numFmtId="0" fontId="10" fillId="0" borderId="5" xfId="18" applyFont="1" applyBorder="1" applyAlignment="1">
      <alignment horizontal="center"/>
    </xf>
    <xf numFmtId="0" fontId="6" fillId="0" borderId="6" xfId="18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2" borderId="54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17" fontId="30" fillId="2" borderId="1" xfId="0" applyNumberFormat="1" applyFont="1" applyFill="1" applyBorder="1" applyAlignment="1">
      <alignment horizontal="center" vertical="center"/>
    </xf>
    <xf numFmtId="17" fontId="29" fillId="2" borderId="0" xfId="0" applyNumberFormat="1" applyFont="1" applyFill="1" applyBorder="1"/>
    <xf numFmtId="17" fontId="29" fillId="2" borderId="5" xfId="0" applyNumberFormat="1" applyFont="1" applyFill="1" applyBorder="1"/>
    <xf numFmtId="170" fontId="29" fillId="2" borderId="6" xfId="0" applyNumberFormat="1" applyFont="1" applyFill="1" applyBorder="1"/>
    <xf numFmtId="170" fontId="29" fillId="2" borderId="25" xfId="0" applyNumberFormat="1" applyFont="1" applyFill="1" applyBorder="1" applyAlignment="1"/>
    <xf numFmtId="170" fontId="29" fillId="2" borderId="59" xfId="0" applyNumberFormat="1" applyFont="1" applyFill="1" applyBorder="1" applyAlignment="1"/>
    <xf numFmtId="170" fontId="29" fillId="2" borderId="30" xfId="0" applyNumberFormat="1" applyFont="1" applyFill="1" applyBorder="1" applyAlignment="1"/>
    <xf numFmtId="0" fontId="0" fillId="2" borderId="75" xfId="0" applyFont="1" applyFill="1" applyBorder="1" applyAlignment="1">
      <alignment horizontal="center"/>
    </xf>
    <xf numFmtId="0" fontId="0" fillId="2" borderId="76" xfId="0" applyFont="1" applyFill="1" applyBorder="1" applyAlignment="1">
      <alignment horizontal="left"/>
    </xf>
    <xf numFmtId="0" fontId="0" fillId="2" borderId="76" xfId="0" applyFont="1" applyFill="1" applyBorder="1"/>
    <xf numFmtId="44" fontId="1" fillId="2" borderId="76" xfId="1" applyFont="1" applyFill="1" applyBorder="1"/>
    <xf numFmtId="44" fontId="0" fillId="2" borderId="76" xfId="0" applyNumberFormat="1" applyFont="1" applyFill="1" applyBorder="1" applyAlignment="1">
      <alignment horizontal="center"/>
    </xf>
    <xf numFmtId="0" fontId="0" fillId="2" borderId="78" xfId="0" applyFont="1" applyFill="1" applyBorder="1" applyAlignment="1">
      <alignment horizontal="center"/>
    </xf>
    <xf numFmtId="0" fontId="0" fillId="2" borderId="79" xfId="0" applyFont="1" applyFill="1" applyBorder="1" applyAlignment="1">
      <alignment horizontal="left"/>
    </xf>
    <xf numFmtId="0" fontId="0" fillId="2" borderId="79" xfId="0" applyFont="1" applyFill="1" applyBorder="1"/>
    <xf numFmtId="44" fontId="0" fillId="2" borderId="79" xfId="0" applyNumberFormat="1" applyFont="1" applyFill="1" applyBorder="1"/>
    <xf numFmtId="44" fontId="0" fillId="2" borderId="79" xfId="0" applyNumberFormat="1" applyFont="1" applyFill="1" applyBorder="1" applyAlignment="1">
      <alignment horizontal="center"/>
    </xf>
    <xf numFmtId="44" fontId="1" fillId="2" borderId="79" xfId="1" applyFont="1" applyFill="1" applyBorder="1"/>
    <xf numFmtId="43" fontId="1" fillId="2" borderId="79" xfId="2" applyFont="1" applyFill="1" applyBorder="1"/>
    <xf numFmtId="0" fontId="0" fillId="2" borderId="79" xfId="0" applyFont="1" applyFill="1" applyBorder="1" applyAlignment="1">
      <alignment horizontal="left" wrapText="1"/>
    </xf>
    <xf numFmtId="2" fontId="0" fillId="2" borderId="79" xfId="0" applyNumberFormat="1" applyFont="1" applyFill="1" applyBorder="1"/>
    <xf numFmtId="0" fontId="0" fillId="2" borderId="79" xfId="0" applyFont="1" applyFill="1" applyBorder="1" applyAlignment="1">
      <alignment horizontal="center"/>
    </xf>
    <xf numFmtId="0" fontId="0" fillId="2" borderId="80" xfId="0" applyFont="1" applyFill="1" applyBorder="1" applyAlignment="1">
      <alignment horizontal="center"/>
    </xf>
    <xf numFmtId="0" fontId="0" fillId="2" borderId="79" xfId="0" applyFont="1" applyFill="1" applyBorder="1" applyAlignment="1">
      <alignment wrapText="1"/>
    </xf>
    <xf numFmtId="165" fontId="1" fillId="2" borderId="80" xfId="2" applyNumberFormat="1" applyFont="1" applyFill="1" applyBorder="1" applyAlignment="1">
      <alignment horizontal="right"/>
    </xf>
    <xf numFmtId="165" fontId="1" fillId="2" borderId="80" xfId="2" applyNumberFormat="1" applyFont="1" applyFill="1" applyBorder="1" applyAlignment="1">
      <alignment horizontal="center"/>
    </xf>
    <xf numFmtId="0" fontId="0" fillId="2" borderId="79" xfId="0" applyFont="1" applyFill="1" applyBorder="1" applyAlignment="1">
      <alignment horizontal="center" wrapText="1"/>
    </xf>
    <xf numFmtId="3" fontId="0" fillId="2" borderId="80" xfId="0" applyNumberFormat="1" applyFont="1" applyFill="1" applyBorder="1" applyAlignment="1">
      <alignment horizontal="right"/>
    </xf>
    <xf numFmtId="0" fontId="0" fillId="2" borderId="80" xfId="0" applyFont="1" applyFill="1" applyBorder="1" applyAlignment="1">
      <alignment horizontal="right"/>
    </xf>
    <xf numFmtId="0" fontId="0" fillId="2" borderId="81" xfId="0" applyFont="1" applyFill="1" applyBorder="1" applyAlignment="1">
      <alignment horizontal="center"/>
    </xf>
    <xf numFmtId="0" fontId="5" fillId="2" borderId="82" xfId="0" applyFont="1" applyFill="1" applyBorder="1"/>
    <xf numFmtId="0" fontId="0" fillId="2" borderId="82" xfId="0" applyFont="1" applyFill="1" applyBorder="1"/>
    <xf numFmtId="43" fontId="1" fillId="2" borderId="82" xfId="2" applyFont="1" applyFill="1" applyBorder="1"/>
    <xf numFmtId="44" fontId="1" fillId="2" borderId="82" xfId="1" applyFont="1" applyFill="1" applyBorder="1"/>
    <xf numFmtId="0" fontId="53" fillId="0" borderId="0" xfId="0" applyFont="1" applyFill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46" fillId="0" borderId="5" xfId="0" applyFont="1" applyBorder="1" applyAlignment="1">
      <alignment horizontal="center" vertical="center"/>
    </xf>
    <xf numFmtId="0" fontId="58" fillId="0" borderId="0" xfId="0" applyFont="1" applyBorder="1" applyAlignment="1">
      <alignment vertical="center"/>
    </xf>
    <xf numFmtId="0" fontId="58" fillId="0" borderId="0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left"/>
    </xf>
    <xf numFmtId="0" fontId="4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0" fontId="1" fillId="2" borderId="77" xfId="3" applyNumberFormat="1" applyFont="1" applyFill="1" applyBorder="1" applyAlignment="1">
      <alignment horizontal="center"/>
    </xf>
    <xf numFmtId="10" fontId="1" fillId="2" borderId="80" xfId="3" applyNumberFormat="1" applyFont="1" applyFill="1" applyBorder="1" applyAlignment="1">
      <alignment horizontal="center"/>
    </xf>
    <xf numFmtId="44" fontId="1" fillId="2" borderId="82" xfId="1" applyNumberFormat="1" applyFont="1" applyFill="1" applyBorder="1"/>
    <xf numFmtId="10" fontId="1" fillId="2" borderId="83" xfId="3" applyNumberFormat="1" applyFont="1" applyFill="1" applyBorder="1"/>
    <xf numFmtId="0" fontId="0" fillId="2" borderId="1" xfId="0" applyFont="1" applyFill="1" applyBorder="1" applyAlignment="1">
      <alignment horizontal="center" vertical="center"/>
    </xf>
    <xf numFmtId="9" fontId="1" fillId="4" borderId="1" xfId="3" applyFont="1" applyFill="1" applyBorder="1"/>
    <xf numFmtId="9" fontId="1" fillId="2" borderId="1" xfId="3" applyFont="1" applyFill="1" applyBorder="1"/>
    <xf numFmtId="171" fontId="10" fillId="0" borderId="1" xfId="4" applyNumberFormat="1" applyFont="1" applyFill="1" applyBorder="1" applyAlignment="1">
      <alignment horizontal="center" vertical="center"/>
    </xf>
    <xf numFmtId="4" fontId="10" fillId="0" borderId="1" xfId="4" applyNumberFormat="1" applyFont="1" applyFill="1" applyBorder="1" applyAlignment="1">
      <alignment horizontal="center" vertical="center" wrapText="1"/>
    </xf>
    <xf numFmtId="1" fontId="10" fillId="2" borderId="3" xfId="4" applyNumberFormat="1" applyFont="1" applyFill="1" applyBorder="1" applyAlignment="1">
      <alignment horizontal="right" vertical="center" wrapText="1"/>
    </xf>
    <xf numFmtId="3" fontId="10" fillId="0" borderId="1" xfId="4" applyNumberFormat="1" applyFont="1" applyFill="1" applyBorder="1" applyAlignment="1">
      <alignment horizontal="center"/>
    </xf>
    <xf numFmtId="0" fontId="17" fillId="0" borderId="30" xfId="0" applyFont="1" applyBorder="1" applyAlignment="1">
      <alignment horizontal="center" vertical="center" wrapText="1"/>
    </xf>
    <xf numFmtId="17" fontId="17" fillId="0" borderId="0" xfId="0" applyNumberFormat="1" applyFont="1" applyBorder="1" applyAlignment="1">
      <alignment vertical="center" wrapText="1"/>
    </xf>
    <xf numFmtId="17" fontId="17" fillId="0" borderId="30" xfId="0" applyNumberFormat="1" applyFont="1" applyBorder="1" applyAlignment="1">
      <alignment horizontal="center" vertical="center" wrapText="1"/>
    </xf>
    <xf numFmtId="0" fontId="0" fillId="3" borderId="2" xfId="0" applyFont="1" applyFill="1" applyBorder="1" applyAlignment="1"/>
    <xf numFmtId="0" fontId="0" fillId="3" borderId="3" xfId="0" applyFont="1" applyFill="1" applyBorder="1" applyAlignment="1"/>
    <xf numFmtId="0" fontId="0" fillId="3" borderId="4" xfId="0" applyFont="1" applyFill="1" applyBorder="1" applyAlignment="1"/>
    <xf numFmtId="0" fontId="0" fillId="3" borderId="7" xfId="0" applyFont="1" applyFill="1" applyBorder="1" applyAlignment="1"/>
    <xf numFmtId="0" fontId="0" fillId="3" borderId="8" xfId="0" applyFont="1" applyFill="1" applyBorder="1" applyAlignment="1"/>
    <xf numFmtId="0" fontId="0" fillId="3" borderId="9" xfId="0" applyFont="1" applyFill="1" applyBorder="1" applyAlignment="1"/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3" fillId="2" borderId="1" xfId="0" applyFont="1" applyFill="1" applyBorder="1" applyAlignment="1">
      <alignment vertical="center"/>
    </xf>
    <xf numFmtId="0" fontId="0" fillId="3" borderId="2" xfId="0" applyFont="1" applyFill="1" applyBorder="1"/>
    <xf numFmtId="0" fontId="0" fillId="3" borderId="3" xfId="0" applyFont="1" applyFill="1" applyBorder="1"/>
    <xf numFmtId="0" fontId="0" fillId="3" borderId="2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44" fontId="1" fillId="0" borderId="1" xfId="14" applyFont="1" applyBorder="1" applyAlignment="1">
      <alignment horizontal="center" vertical="center" wrapText="1"/>
    </xf>
    <xf numFmtId="168" fontId="1" fillId="2" borderId="1" xfId="15" applyNumberFormat="1" applyFont="1" applyFill="1" applyBorder="1" applyAlignment="1">
      <alignment horizontal="center" vertical="top" wrapText="1"/>
    </xf>
    <xf numFmtId="168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vertical="center"/>
    </xf>
    <xf numFmtId="17" fontId="0" fillId="3" borderId="1" xfId="0" applyNumberFormat="1" applyFont="1" applyFill="1" applyBorder="1" applyAlignment="1">
      <alignment horizontal="center" vertical="center"/>
    </xf>
    <xf numFmtId="17" fontId="34" fillId="5" borderId="72" xfId="4" applyNumberFormat="1" applyFont="1" applyFill="1" applyBorder="1" applyAlignment="1">
      <alignment horizontal="center" vertical="center"/>
    </xf>
    <xf numFmtId="49" fontId="34" fillId="5" borderId="73" xfId="4" applyNumberFormat="1" applyFont="1" applyFill="1" applyBorder="1" applyAlignment="1">
      <alignment horizontal="center"/>
    </xf>
    <xf numFmtId="170" fontId="34" fillId="5" borderId="74" xfId="4" applyNumberFormat="1" applyFont="1" applyFill="1" applyBorder="1" applyAlignment="1">
      <alignment horizontal="center"/>
    </xf>
    <xf numFmtId="17" fontId="0" fillId="2" borderId="58" xfId="0" applyNumberFormat="1" applyFont="1" applyFill="1" applyBorder="1" applyAlignment="1">
      <alignment horizontal="center" vertical="center"/>
    </xf>
    <xf numFmtId="17" fontId="0" fillId="2" borderId="56" xfId="0" applyNumberFormat="1" applyFont="1" applyFill="1" applyBorder="1" applyAlignment="1">
      <alignment horizontal="center" vertical="center"/>
    </xf>
    <xf numFmtId="17" fontId="0" fillId="2" borderId="6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top" wrapText="1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/>
    <xf numFmtId="2" fontId="0" fillId="0" borderId="0" xfId="0" applyNumberFormat="1" applyFont="1"/>
    <xf numFmtId="0" fontId="0" fillId="0" borderId="10" xfId="0" applyFont="1" applyFill="1" applyBorder="1"/>
    <xf numFmtId="0" fontId="0" fillId="0" borderId="12" xfId="0" applyFont="1" applyFill="1" applyBorder="1"/>
    <xf numFmtId="0" fontId="0" fillId="0" borderId="5" xfId="0" applyFont="1" applyFill="1" applyBorder="1"/>
    <xf numFmtId="0" fontId="0" fillId="0" borderId="0" xfId="0" applyFont="1" applyFill="1" applyBorder="1"/>
    <xf numFmtId="0" fontId="0" fillId="2" borderId="2" xfId="0" applyFont="1" applyFill="1" applyBorder="1"/>
    <xf numFmtId="17" fontId="0" fillId="0" borderId="3" xfId="0" applyNumberFormat="1" applyFont="1" applyFill="1" applyBorder="1" applyAlignment="1">
      <alignment horizontal="left" vertical="top" wrapText="1"/>
    </xf>
    <xf numFmtId="0" fontId="0" fillId="2" borderId="4" xfId="0" applyFont="1" applyFill="1" applyBorder="1"/>
    <xf numFmtId="0" fontId="0" fillId="0" borderId="0" xfId="0" applyFont="1" applyAlignment="1"/>
    <xf numFmtId="0" fontId="60" fillId="0" borderId="0" xfId="24" applyFont="1" applyAlignment="1" applyProtection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2" borderId="0" xfId="0" applyFont="1" applyFill="1" applyBorder="1" applyAlignment="1">
      <alignment horizontal="center" vertical="top" wrapText="1"/>
    </xf>
    <xf numFmtId="0" fontId="0" fillId="2" borderId="5" xfId="0" applyFont="1" applyFill="1" applyBorder="1"/>
    <xf numFmtId="0" fontId="0" fillId="2" borderId="0" xfId="0" applyFont="1" applyFill="1" applyBorder="1"/>
    <xf numFmtId="0" fontId="0" fillId="0" borderId="11" xfId="0" applyFont="1" applyBorder="1"/>
    <xf numFmtId="0" fontId="0" fillId="0" borderId="2" xfId="0" applyFont="1" applyBorder="1"/>
    <xf numFmtId="0" fontId="0" fillId="0" borderId="3" xfId="0" applyFont="1" applyBorder="1"/>
    <xf numFmtId="0" fontId="0" fillId="2" borderId="10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44" fontId="1" fillId="2" borderId="1" xfId="14" applyFont="1" applyFill="1" applyBorder="1" applyAlignment="1">
      <alignment horizontal="center" vertical="top" wrapText="1"/>
    </xf>
    <xf numFmtId="44" fontId="0" fillId="3" borderId="1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right"/>
    </xf>
    <xf numFmtId="44" fontId="1" fillId="3" borderId="1" xfId="14" applyFont="1" applyFill="1" applyBorder="1" applyAlignment="1">
      <alignment horizontal="center"/>
    </xf>
    <xf numFmtId="0" fontId="0" fillId="3" borderId="3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center"/>
    </xf>
    <xf numFmtId="44" fontId="1" fillId="2" borderId="1" xfId="14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/>
    </xf>
    <xf numFmtId="0" fontId="10" fillId="5" borderId="1" xfId="4" applyFont="1" applyFill="1" applyBorder="1" applyAlignment="1">
      <alignment horizontal="center"/>
    </xf>
    <xf numFmtId="0" fontId="10" fillId="5" borderId="1" xfId="18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0" xfId="0" applyFont="1" applyFill="1" applyBorder="1"/>
    <xf numFmtId="8" fontId="1" fillId="2" borderId="1" xfId="14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8" fontId="0" fillId="3" borderId="1" xfId="0" applyNumberFormat="1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53" fillId="5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2" xfId="0" applyFont="1" applyBorder="1" applyAlignment="1">
      <alignment horizontal="left" vertical="center" wrapText="1"/>
    </xf>
    <xf numFmtId="4" fontId="53" fillId="0" borderId="1" xfId="0" applyNumberFormat="1" applyFont="1" applyBorder="1"/>
    <xf numFmtId="44" fontId="6" fillId="0" borderId="0" xfId="1" applyFont="1"/>
    <xf numFmtId="44" fontId="38" fillId="0" borderId="0" xfId="1" applyFont="1"/>
    <xf numFmtId="44" fontId="38" fillId="0" borderId="0" xfId="1" applyFont="1" applyFill="1"/>
    <xf numFmtId="44" fontId="6" fillId="0" borderId="0" xfId="1" applyFont="1" applyFill="1"/>
    <xf numFmtId="44" fontId="6" fillId="0" borderId="0" xfId="4" applyNumberFormat="1" applyFont="1"/>
    <xf numFmtId="175" fontId="0" fillId="0" borderId="55" xfId="0" applyNumberFormat="1" applyFont="1" applyBorder="1" applyAlignment="1">
      <alignment horizontal="center" vertical="center"/>
    </xf>
    <xf numFmtId="175" fontId="0" fillId="0" borderId="57" xfId="0" applyNumberFormat="1" applyFont="1" applyBorder="1" applyAlignment="1">
      <alignment horizontal="center" vertical="center"/>
    </xf>
    <xf numFmtId="175" fontId="0" fillId="0" borderId="63" xfId="0" applyNumberFormat="1" applyFont="1" applyBorder="1" applyAlignment="1">
      <alignment horizontal="center" vertical="center"/>
    </xf>
    <xf numFmtId="166" fontId="43" fillId="0" borderId="1" xfId="0" applyNumberFormat="1" applyFont="1" applyFill="1" applyBorder="1" applyAlignment="1">
      <alignment horizontal="center"/>
    </xf>
    <xf numFmtId="0" fontId="50" fillId="8" borderId="6" xfId="19" applyFont="1" applyFill="1" applyBorder="1" applyAlignment="1" applyProtection="1">
      <alignment horizontal="center" vertical="center"/>
      <protection locked="0"/>
    </xf>
    <xf numFmtId="172" fontId="43" fillId="0" borderId="1" xfId="0" applyNumberFormat="1" applyFont="1" applyFill="1" applyBorder="1" applyAlignment="1">
      <alignment horizontal="center"/>
    </xf>
    <xf numFmtId="0" fontId="49" fillId="0" borderId="0" xfId="19" applyFont="1" applyAlignment="1">
      <alignment horizontal="center" vertical="center" wrapText="1"/>
    </xf>
    <xf numFmtId="0" fontId="12" fillId="3" borderId="25" xfId="19" applyFont="1" applyFill="1" applyBorder="1" applyAlignment="1">
      <alignment horizontal="center" vertical="center" wrapText="1"/>
    </xf>
    <xf numFmtId="0" fontId="12" fillId="3" borderId="25" xfId="19" applyFont="1" applyFill="1" applyBorder="1" applyAlignment="1">
      <alignment horizontal="center" vertical="center"/>
    </xf>
    <xf numFmtId="4" fontId="12" fillId="2" borderId="30" xfId="19" applyNumberFormat="1" applyFont="1" applyFill="1" applyBorder="1" applyAlignment="1" applyProtection="1">
      <alignment horizontal="center" vertical="center"/>
      <protection locked="0"/>
    </xf>
    <xf numFmtId="1" fontId="10" fillId="0" borderId="12" xfId="4" applyNumberFormat="1" applyFont="1" applyFill="1" applyBorder="1" applyAlignment="1">
      <alignment horizontal="left" vertical="center"/>
    </xf>
    <xf numFmtId="0" fontId="10" fillId="5" borderId="1" xfId="4" applyFont="1" applyFill="1" applyBorder="1" applyAlignment="1">
      <alignment horizontal="center"/>
    </xf>
    <xf numFmtId="0" fontId="10" fillId="5" borderId="1" xfId="18" applyFont="1" applyFill="1" applyBorder="1" applyAlignment="1">
      <alignment horizontal="center"/>
    </xf>
    <xf numFmtId="2" fontId="12" fillId="0" borderId="1" xfId="20" applyNumberFormat="1" applyFont="1" applyFill="1" applyBorder="1" applyAlignment="1" applyProtection="1">
      <alignment horizontal="center" vertical="center"/>
      <protection locked="0"/>
    </xf>
    <xf numFmtId="10" fontId="12" fillId="0" borderId="1" xfId="21" applyNumberFormat="1" applyFont="1" applyFill="1" applyBorder="1" applyAlignment="1">
      <alignment horizontal="center" vertical="center"/>
    </xf>
    <xf numFmtId="10" fontId="12" fillId="0" borderId="1" xfId="21" applyNumberFormat="1" applyFont="1" applyFill="1" applyBorder="1" applyAlignment="1" applyProtection="1">
      <alignment horizontal="center" vertical="center"/>
      <protection locked="0"/>
    </xf>
    <xf numFmtId="166" fontId="51" fillId="0" borderId="1" xfId="19" applyNumberFormat="1" applyFont="1" applyFill="1" applyBorder="1" applyAlignment="1">
      <alignment horizontal="center" vertical="center"/>
    </xf>
    <xf numFmtId="1" fontId="52" fillId="0" borderId="30" xfId="19" applyNumberFormat="1" applyFont="1" applyFill="1" applyBorder="1" applyAlignment="1" applyProtection="1">
      <alignment horizontal="center" vertical="center"/>
      <protection locked="0"/>
    </xf>
    <xf numFmtId="166" fontId="12" fillId="0" borderId="1" xfId="19" applyNumberFormat="1" applyFont="1" applyFill="1" applyBorder="1" applyAlignment="1">
      <alignment horizontal="center" vertical="center"/>
    </xf>
    <xf numFmtId="0" fontId="6" fillId="0" borderId="0" xfId="17" applyFont="1"/>
    <xf numFmtId="0" fontId="11" fillId="0" borderId="1" xfId="18" applyFont="1" applyBorder="1" applyAlignment="1">
      <alignment horizontal="center" vertical="center"/>
    </xf>
    <xf numFmtId="0" fontId="6" fillId="0" borderId="0" xfId="17" applyFont="1" applyFill="1"/>
    <xf numFmtId="0" fontId="10" fillId="5" borderId="1" xfId="17" applyFont="1" applyFill="1" applyBorder="1" applyAlignment="1">
      <alignment horizontal="center"/>
    </xf>
    <xf numFmtId="2" fontId="10" fillId="5" borderId="1" xfId="17" applyNumberFormat="1" applyFont="1" applyFill="1" applyBorder="1" applyAlignment="1">
      <alignment horizontal="center"/>
    </xf>
    <xf numFmtId="4" fontId="11" fillId="0" borderId="1" xfId="4" applyNumberFormat="1" applyFont="1" applyFill="1" applyBorder="1" applyAlignment="1">
      <alignment horizontal="center"/>
    </xf>
    <xf numFmtId="2" fontId="6" fillId="0" borderId="0" xfId="17" applyNumberFormat="1" applyFont="1"/>
    <xf numFmtId="17" fontId="61" fillId="2" borderId="1" xfId="0" applyNumberFormat="1" applyFont="1" applyFill="1" applyBorder="1" applyAlignment="1">
      <alignment horizontal="center"/>
    </xf>
    <xf numFmtId="0" fontId="61" fillId="2" borderId="1" xfId="0" applyFont="1" applyFill="1" applyBorder="1" applyAlignment="1">
      <alignment horizontal="center"/>
    </xf>
    <xf numFmtId="0" fontId="63" fillId="0" borderId="1" xfId="0" applyFont="1" applyBorder="1" applyAlignment="1">
      <alignment horizontal="left" vertical="center" wrapText="1"/>
    </xf>
    <xf numFmtId="2" fontId="63" fillId="0" borderId="1" xfId="0" applyNumberFormat="1" applyFont="1" applyBorder="1" applyAlignment="1">
      <alignment horizontal="right" vertical="center" wrapText="1"/>
    </xf>
    <xf numFmtId="2" fontId="50" fillId="0" borderId="1" xfId="0" applyNumberFormat="1" applyFont="1" applyBorder="1" applyAlignment="1">
      <alignment horizontal="right" vertical="center" wrapText="1"/>
    </xf>
    <xf numFmtId="8" fontId="63" fillId="0" borderId="1" xfId="0" applyNumberFormat="1" applyFont="1" applyBorder="1" applyAlignment="1">
      <alignment horizontal="right" vertical="center" wrapText="1"/>
    </xf>
    <xf numFmtId="0" fontId="64" fillId="5" borderId="1" xfId="0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vertical="center"/>
    </xf>
    <xf numFmtId="0" fontId="65" fillId="0" borderId="1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right" vertical="center" wrapText="1"/>
    </xf>
    <xf numFmtId="2" fontId="65" fillId="0" borderId="1" xfId="0" applyNumberFormat="1" applyFont="1" applyBorder="1" applyAlignment="1">
      <alignment horizontal="right" vertical="center" wrapText="1"/>
    </xf>
    <xf numFmtId="8" fontId="65" fillId="0" borderId="1" xfId="0" applyNumberFormat="1" applyFont="1" applyBorder="1" applyAlignment="1">
      <alignment horizontal="right" vertical="center" wrapText="1"/>
    </xf>
    <xf numFmtId="0" fontId="0" fillId="0" borderId="0" xfId="0" applyNumberFormat="1" applyBorder="1"/>
    <xf numFmtId="10" fontId="0" fillId="4" borderId="1" xfId="3" applyNumberFormat="1" applyFont="1" applyFill="1" applyBorder="1"/>
    <xf numFmtId="2" fontId="10" fillId="0" borderId="11" xfId="4" applyNumberFormat="1" applyFont="1" applyFill="1" applyBorder="1" applyAlignment="1">
      <alignment horizontal="center" vertical="center"/>
    </xf>
    <xf numFmtId="1" fontId="12" fillId="2" borderId="0" xfId="19" applyNumberFormat="1" applyFont="1" applyFill="1" applyBorder="1" applyAlignment="1" applyProtection="1">
      <alignment horizontal="center" vertical="center"/>
      <protection locked="0"/>
    </xf>
    <xf numFmtId="4" fontId="12" fillId="2" borderId="0" xfId="19" applyNumberFormat="1" applyFont="1" applyFill="1" applyBorder="1" applyAlignment="1" applyProtection="1">
      <alignment horizontal="center" vertical="center"/>
      <protection locked="0"/>
    </xf>
    <xf numFmtId="2" fontId="10" fillId="0" borderId="3" xfId="4" applyNumberFormat="1" applyFont="1" applyFill="1" applyBorder="1" applyAlignment="1">
      <alignment horizontal="center" vertical="center"/>
    </xf>
    <xf numFmtId="1" fontId="11" fillId="0" borderId="5" xfId="4" applyNumberFormat="1" applyFont="1" applyBorder="1" applyAlignment="1">
      <alignment horizontal="right" vertical="center"/>
    </xf>
    <xf numFmtId="1" fontId="11" fillId="0" borderId="0" xfId="4" applyNumberFormat="1" applyFont="1" applyAlignment="1">
      <alignment horizontal="right" vertical="center"/>
    </xf>
    <xf numFmtId="2" fontId="11" fillId="0" borderId="0" xfId="4" applyNumberFormat="1" applyFont="1" applyAlignment="1">
      <alignment horizontal="right" vertical="center"/>
    </xf>
    <xf numFmtId="4" fontId="11" fillId="0" borderId="6" xfId="4" applyNumberFormat="1" applyFont="1" applyBorder="1" applyAlignment="1">
      <alignment horizontal="center"/>
    </xf>
    <xf numFmtId="1" fontId="10" fillId="0" borderId="1" xfId="4" applyNumberFormat="1" applyFont="1" applyBorder="1" applyAlignment="1">
      <alignment horizontal="center" vertical="center"/>
    </xf>
    <xf numFmtId="2" fontId="10" fillId="0" borderId="1" xfId="4" applyNumberFormat="1" applyFont="1" applyBorder="1" applyAlignment="1">
      <alignment horizontal="center" vertical="center"/>
    </xf>
    <xf numFmtId="4" fontId="10" fillId="0" borderId="1" xfId="4" applyNumberFormat="1" applyFont="1" applyBorder="1" applyAlignment="1">
      <alignment horizontal="center" vertical="center"/>
    </xf>
    <xf numFmtId="2" fontId="10" fillId="0" borderId="1" xfId="17" applyNumberFormat="1" applyFont="1" applyBorder="1" applyAlignment="1">
      <alignment horizontal="center"/>
    </xf>
    <xf numFmtId="4" fontId="10" fillId="0" borderId="1" xfId="17" applyNumberFormat="1" applyFont="1" applyBorder="1" applyAlignment="1">
      <alignment horizontal="center"/>
    </xf>
    <xf numFmtId="4" fontId="11" fillId="0" borderId="1" xfId="4" applyNumberFormat="1" applyFont="1" applyBorder="1" applyAlignment="1">
      <alignment horizontal="center"/>
    </xf>
    <xf numFmtId="4" fontId="6" fillId="0" borderId="0" xfId="4" applyNumberFormat="1" applyFont="1"/>
    <xf numFmtId="17" fontId="61" fillId="2" borderId="1" xfId="0" applyNumberFormat="1" applyFont="1" applyFill="1" applyBorder="1" applyAlignment="1">
      <alignment horizontal="center" vertical="center"/>
    </xf>
    <xf numFmtId="0" fontId="10" fillId="5" borderId="1" xfId="17" applyFont="1" applyFill="1" applyBorder="1" applyAlignment="1">
      <alignment horizontal="center"/>
    </xf>
    <xf numFmtId="2" fontId="10" fillId="0" borderId="1" xfId="4" applyNumberFormat="1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/>
    </xf>
    <xf numFmtId="0" fontId="27" fillId="0" borderId="0" xfId="0" applyFont="1" applyBorder="1"/>
    <xf numFmtId="0" fontId="27" fillId="0" borderId="6" xfId="0" applyFont="1" applyBorder="1"/>
    <xf numFmtId="2" fontId="10" fillId="0" borderId="1" xfId="4" applyNumberFormat="1" applyFont="1" applyFill="1" applyBorder="1" applyAlignment="1">
      <alignment horizontal="center" vertical="center"/>
    </xf>
    <xf numFmtId="0" fontId="10" fillId="5" borderId="1" xfId="18" applyFont="1" applyFill="1" applyBorder="1" applyAlignment="1">
      <alignment horizontal="center"/>
    </xf>
    <xf numFmtId="9" fontId="27" fillId="4" borderId="1" xfId="3" applyFont="1" applyFill="1" applyBorder="1"/>
    <xf numFmtId="9" fontId="27" fillId="2" borderId="1" xfId="3" applyFont="1" applyFill="1" applyBorder="1"/>
    <xf numFmtId="0" fontId="27" fillId="4" borderId="1" xfId="0" applyFont="1" applyFill="1" applyBorder="1"/>
    <xf numFmtId="43" fontId="27" fillId="2" borderId="1" xfId="2" applyFont="1" applyFill="1" applyBorder="1"/>
    <xf numFmtId="17" fontId="61" fillId="2" borderId="1" xfId="0" applyNumberFormat="1" applyFont="1" applyFill="1" applyBorder="1" applyAlignment="1">
      <alignment horizontal="center" vertical="center" wrapText="1"/>
    </xf>
    <xf numFmtId="14" fontId="61" fillId="2" borderId="1" xfId="0" applyNumberFormat="1" applyFont="1" applyFill="1" applyBorder="1" applyAlignment="1">
      <alignment horizontal="center" vertical="center"/>
    </xf>
    <xf numFmtId="0" fontId="43" fillId="0" borderId="7" xfId="0" applyFont="1" applyBorder="1" applyAlignment="1">
      <alignment horizontal="center"/>
    </xf>
    <xf numFmtId="0" fontId="43" fillId="0" borderId="4" xfId="0" applyFont="1" applyBorder="1" applyAlignment="1">
      <alignment horizontal="center"/>
    </xf>
    <xf numFmtId="0" fontId="43" fillId="0" borderId="6" xfId="0" applyFont="1" applyBorder="1"/>
    <xf numFmtId="0" fontId="0" fillId="0" borderId="5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46" fillId="3" borderId="1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44" fontId="46" fillId="2" borderId="3" xfId="1" applyFont="1" applyFill="1" applyBorder="1" applyAlignment="1">
      <alignment vertical="center"/>
    </xf>
    <xf numFmtId="0" fontId="46" fillId="2" borderId="3" xfId="0" applyFont="1" applyFill="1" applyBorder="1" applyAlignment="1">
      <alignment horizontal="center" vertical="center"/>
    </xf>
    <xf numFmtId="164" fontId="0" fillId="0" borderId="0" xfId="0" applyNumberFormat="1" applyBorder="1"/>
    <xf numFmtId="3" fontId="46" fillId="2" borderId="4" xfId="0" applyNumberFormat="1" applyFont="1" applyFill="1" applyBorder="1" applyAlignment="1">
      <alignment horizontal="right" vertical="center"/>
    </xf>
    <xf numFmtId="44" fontId="0" fillId="0" borderId="6" xfId="0" applyNumberFormat="1" applyBorder="1"/>
    <xf numFmtId="0" fontId="12" fillId="3" borderId="25" xfId="19" applyFont="1" applyFill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0" fillId="0" borderId="1" xfId="4" applyNumberFormat="1" applyFont="1" applyFill="1" applyBorder="1" applyAlignment="1">
      <alignment horizontal="center" vertical="center"/>
    </xf>
    <xf numFmtId="0" fontId="12" fillId="3" borderId="25" xfId="19" applyFont="1" applyFill="1" applyBorder="1" applyAlignment="1">
      <alignment horizontal="center" vertical="center" wrapText="1"/>
    </xf>
    <xf numFmtId="1" fontId="12" fillId="2" borderId="1" xfId="25" applyNumberFormat="1" applyFont="1" applyFill="1" applyBorder="1" applyAlignment="1" applyProtection="1">
      <alignment horizontal="center" vertical="center"/>
      <protection locked="0"/>
    </xf>
    <xf numFmtId="4" fontId="12" fillId="2" borderId="1" xfId="25" applyNumberFormat="1" applyFont="1" applyFill="1" applyBorder="1" applyAlignment="1" applyProtection="1">
      <alignment horizontal="center" vertical="center"/>
      <protection locked="0"/>
    </xf>
    <xf numFmtId="172" fontId="12" fillId="2" borderId="1" xfId="25" applyNumberFormat="1" applyFont="1" applyFill="1" applyBorder="1" applyAlignment="1">
      <alignment horizontal="center" vertical="center"/>
    </xf>
    <xf numFmtId="166" fontId="12" fillId="2" borderId="1" xfId="25" applyNumberFormat="1" applyFont="1" applyFill="1" applyBorder="1" applyAlignment="1" applyProtection="1">
      <alignment horizontal="center" vertical="center"/>
      <protection locked="0"/>
    </xf>
    <xf numFmtId="166" fontId="12" fillId="2" borderId="1" xfId="25" applyNumberFormat="1" applyFont="1" applyFill="1" applyBorder="1" applyAlignment="1">
      <alignment horizontal="center" vertical="center"/>
    </xf>
    <xf numFmtId="10" fontId="12" fillId="2" borderId="1" xfId="21" applyNumberFormat="1" applyFont="1" applyFill="1" applyBorder="1" applyAlignment="1">
      <alignment horizontal="center" vertical="center"/>
    </xf>
    <xf numFmtId="10" fontId="12" fillId="2" borderId="1" xfId="21" applyNumberFormat="1" applyFont="1" applyFill="1" applyBorder="1" applyAlignment="1" applyProtection="1">
      <alignment horizontal="center" vertical="center"/>
      <protection locked="0"/>
    </xf>
    <xf numFmtId="166" fontId="51" fillId="2" borderId="1" xfId="25" applyNumberFormat="1" applyFont="1" applyFill="1" applyBorder="1" applyAlignment="1">
      <alignment horizontal="center" vertical="center"/>
    </xf>
    <xf numFmtId="1" fontId="52" fillId="2" borderId="1" xfId="25" applyNumberFormat="1" applyFont="1" applyFill="1" applyBorder="1" applyAlignment="1" applyProtection="1">
      <alignment horizontal="center" vertical="center"/>
      <protection locked="0"/>
    </xf>
    <xf numFmtId="2" fontId="12" fillId="2" borderId="1" xfId="25" applyNumberFormat="1" applyFont="1" applyFill="1" applyBorder="1" applyAlignment="1">
      <alignment horizontal="center" vertical="center"/>
    </xf>
    <xf numFmtId="2" fontId="12" fillId="2" borderId="1" xfId="25" applyNumberFormat="1" applyFont="1" applyFill="1" applyBorder="1" applyAlignment="1" applyProtection="1">
      <alignment horizontal="center" vertical="center"/>
      <protection locked="0"/>
    </xf>
    <xf numFmtId="0" fontId="50" fillId="0" borderId="0" xfId="25" applyFont="1"/>
    <xf numFmtId="0" fontId="49" fillId="0" borderId="0" xfId="25" applyFont="1" applyAlignment="1">
      <alignment horizontal="center" vertical="center" wrapText="1"/>
    </xf>
    <xf numFmtId="1" fontId="12" fillId="2" borderId="1" xfId="25" applyNumberFormat="1" applyFont="1" applyFill="1" applyBorder="1" applyAlignment="1">
      <alignment horizontal="center" vertical="center"/>
    </xf>
    <xf numFmtId="2" fontId="50" fillId="0" borderId="0" xfId="25" applyNumberFormat="1" applyFont="1"/>
    <xf numFmtId="0" fontId="12" fillId="0" borderId="1" xfId="4" applyFont="1" applyFill="1" applyBorder="1" applyAlignment="1">
      <alignment horizontal="center"/>
    </xf>
    <xf numFmtId="2" fontId="71" fillId="0" borderId="1" xfId="4" applyNumberFormat="1" applyFont="1" applyFill="1" applyBorder="1" applyAlignment="1">
      <alignment horizontal="center"/>
    </xf>
    <xf numFmtId="1" fontId="12" fillId="0" borderId="1" xfId="4" applyNumberFormat="1" applyFont="1" applyFill="1" applyBorder="1" applyAlignment="1">
      <alignment horizontal="center"/>
    </xf>
    <xf numFmtId="1" fontId="12" fillId="2" borderId="1" xfId="4" applyNumberFormat="1" applyFont="1" applyFill="1" applyBorder="1" applyAlignment="1">
      <alignment horizontal="center" vertical="center"/>
    </xf>
    <xf numFmtId="166" fontId="12" fillId="2" borderId="1" xfId="4" applyNumberFormat="1" applyFont="1" applyFill="1" applyBorder="1" applyAlignment="1">
      <alignment horizontal="center" vertical="center"/>
    </xf>
    <xf numFmtId="166" fontId="12" fillId="2" borderId="1" xfId="5" applyNumberFormat="1" applyFont="1" applyFill="1" applyBorder="1" applyAlignment="1">
      <alignment horizontal="center" vertical="center"/>
    </xf>
    <xf numFmtId="166" fontId="12" fillId="0" borderId="1" xfId="4" applyNumberFormat="1" applyFont="1" applyFill="1" applyBorder="1" applyAlignment="1">
      <alignment horizontal="center"/>
    </xf>
    <xf numFmtId="0" fontId="72" fillId="0" borderId="1" xfId="0" applyFont="1" applyBorder="1" applyAlignment="1">
      <alignment horizontal="left" vertical="center" wrapText="1"/>
    </xf>
    <xf numFmtId="2" fontId="72" fillId="0" borderId="1" xfId="0" applyNumberFormat="1" applyFont="1" applyBorder="1" applyAlignment="1">
      <alignment horizontal="right" vertical="center" wrapText="1"/>
    </xf>
    <xf numFmtId="0" fontId="0" fillId="3" borderId="2" xfId="0" applyFill="1" applyBorder="1" applyAlignment="1">
      <alignment horizontal="right"/>
    </xf>
    <xf numFmtId="0" fontId="0" fillId="3" borderId="3" xfId="0" applyFill="1" applyBorder="1"/>
    <xf numFmtId="0" fontId="0" fillId="3" borderId="25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top" wrapText="1"/>
    </xf>
    <xf numFmtId="0" fontId="0" fillId="0" borderId="10" xfId="0" applyBorder="1"/>
    <xf numFmtId="17" fontId="0" fillId="0" borderId="11" xfId="0" applyNumberFormat="1" applyBorder="1" applyAlignment="1">
      <alignment horizontal="left" vertical="top" wrapText="1"/>
    </xf>
    <xf numFmtId="0" fontId="0" fillId="0" borderId="12" xfId="0" applyBorder="1"/>
    <xf numFmtId="8" fontId="0" fillId="3" borderId="1" xfId="0" applyNumberFormat="1" applyFill="1" applyBorder="1" applyAlignment="1">
      <alignment horizontal="center"/>
    </xf>
    <xf numFmtId="2" fontId="10" fillId="0" borderId="1" xfId="4" applyNumberFormat="1" applyFont="1" applyFill="1" applyBorder="1" applyAlignment="1">
      <alignment horizontal="center" vertical="center"/>
    </xf>
    <xf numFmtId="0" fontId="10" fillId="5" borderId="1" xfId="18" applyFont="1" applyFill="1" applyBorder="1" applyAlignment="1">
      <alignment horizontal="center"/>
    </xf>
    <xf numFmtId="0" fontId="7" fillId="0" borderId="1" xfId="6" applyFont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/>
    </xf>
    <xf numFmtId="0" fontId="11" fillId="0" borderId="1" xfId="6" applyFont="1" applyBorder="1" applyAlignment="1">
      <alignment horizontal="center" vertical="center"/>
    </xf>
    <xf numFmtId="0" fontId="10" fillId="5" borderId="1" xfId="18" applyFont="1" applyFill="1" applyBorder="1" applyAlignment="1">
      <alignment horizontal="center"/>
    </xf>
    <xf numFmtId="0" fontId="10" fillId="5" borderId="1" xfId="4" applyFont="1" applyFill="1" applyBorder="1" applyAlignment="1">
      <alignment horizontal="center"/>
    </xf>
    <xf numFmtId="0" fontId="10" fillId="5" borderId="1" xfId="18" applyFont="1" applyFill="1" applyBorder="1" applyAlignment="1">
      <alignment horizontal="center"/>
    </xf>
    <xf numFmtId="0" fontId="0" fillId="0" borderId="0" xfId="0" applyAlignment="1">
      <alignment horizontal="center"/>
    </xf>
    <xf numFmtId="2" fontId="12" fillId="0" borderId="1" xfId="25" applyNumberFormat="1" applyFont="1" applyFill="1" applyBorder="1" applyAlignment="1">
      <alignment horizontal="center" vertical="center"/>
    </xf>
    <xf numFmtId="166" fontId="12" fillId="0" borderId="1" xfId="25" applyNumberFormat="1" applyFont="1" applyFill="1" applyBorder="1" applyAlignment="1">
      <alignment horizontal="center" vertical="center"/>
    </xf>
    <xf numFmtId="0" fontId="10" fillId="0" borderId="0" xfId="18" applyFont="1" applyAlignment="1">
      <alignment horizontal="center"/>
    </xf>
    <xf numFmtId="0" fontId="6" fillId="0" borderId="0" xfId="18" applyFont="1" applyAlignment="1">
      <alignment horizontal="center"/>
    </xf>
    <xf numFmtId="3" fontId="10" fillId="0" borderId="1" xfId="18" applyNumberFormat="1" applyFont="1" applyBorder="1" applyAlignment="1">
      <alignment horizontal="center" vertical="center"/>
    </xf>
    <xf numFmtId="2" fontId="10" fillId="0" borderId="1" xfId="18" applyNumberFormat="1" applyFont="1" applyBorder="1" applyAlignment="1">
      <alignment horizontal="center" vertical="center"/>
    </xf>
    <xf numFmtId="2" fontId="10" fillId="0" borderId="1" xfId="18" applyNumberFormat="1" applyFont="1" applyBorder="1" applyAlignment="1">
      <alignment horizontal="center"/>
    </xf>
    <xf numFmtId="3" fontId="10" fillId="0" borderId="1" xfId="18" applyNumberFormat="1" applyFont="1" applyBorder="1" applyAlignment="1">
      <alignment horizontal="center"/>
    </xf>
    <xf numFmtId="17" fontId="11" fillId="0" borderId="1" xfId="18" applyNumberFormat="1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/>
    </xf>
    <xf numFmtId="1" fontId="10" fillId="0" borderId="1" xfId="18" applyNumberFormat="1" applyFont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64" fillId="2" borderId="1" xfId="0" applyFont="1" applyFill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/>
    </xf>
    <xf numFmtId="0" fontId="62" fillId="0" borderId="0" xfId="0" applyFont="1" applyBorder="1" applyAlignment="1">
      <alignment vertical="center"/>
    </xf>
    <xf numFmtId="4" fontId="10" fillId="0" borderId="1" xfId="4" applyNumberFormat="1" applyFont="1" applyBorder="1" applyAlignment="1">
      <alignment horizontal="center"/>
    </xf>
    <xf numFmtId="4" fontId="38" fillId="0" borderId="0" xfId="4" applyNumberFormat="1" applyFont="1" applyFill="1"/>
    <xf numFmtId="10" fontId="46" fillId="0" borderId="0" xfId="3" applyNumberFormat="1" applyFont="1" applyBorder="1" applyAlignment="1">
      <alignment horizontal="center"/>
    </xf>
    <xf numFmtId="0" fontId="46" fillId="3" borderId="1" xfId="0" applyFont="1" applyFill="1" applyBorder="1" applyAlignment="1">
      <alignment horizontal="center" vertical="center"/>
    </xf>
    <xf numFmtId="44" fontId="62" fillId="0" borderId="1" xfId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44" fontId="62" fillId="0" borderId="1" xfId="1" applyNumberFormat="1" applyFont="1" applyFill="1" applyBorder="1" applyAlignment="1">
      <alignment horizontal="center" vertical="center"/>
    </xf>
    <xf numFmtId="10" fontId="46" fillId="0" borderId="1" xfId="3" applyNumberFormat="1" applyFont="1" applyFill="1" applyBorder="1" applyAlignment="1">
      <alignment horizontal="center" vertical="center"/>
    </xf>
    <xf numFmtId="167" fontId="1" fillId="0" borderId="1" xfId="1" applyNumberFormat="1" applyFont="1" applyFill="1" applyBorder="1" applyAlignment="1">
      <alignment horizontal="center" vertical="center"/>
    </xf>
    <xf numFmtId="167" fontId="46" fillId="3" borderId="1" xfId="0" applyNumberFormat="1" applyFont="1" applyFill="1" applyBorder="1" applyAlignment="1">
      <alignment horizontal="center" vertical="center"/>
    </xf>
    <xf numFmtId="167" fontId="0" fillId="3" borderId="1" xfId="0" applyNumberFormat="1" applyFont="1" applyFill="1" applyBorder="1" applyAlignment="1">
      <alignment horizontal="center" vertical="center"/>
    </xf>
    <xf numFmtId="0" fontId="1" fillId="0" borderId="1" xfId="2" applyNumberFormat="1" applyFont="1" applyFill="1" applyBorder="1" applyAlignment="1">
      <alignment horizontal="center" vertical="center"/>
    </xf>
    <xf numFmtId="167" fontId="27" fillId="0" borderId="1" xfId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Fill="1" applyBorder="1" applyAlignment="1">
      <alignment vertical="center"/>
    </xf>
    <xf numFmtId="0" fontId="46" fillId="0" borderId="0" xfId="0" applyFont="1" applyBorder="1" applyAlignment="1">
      <alignment vertical="center"/>
    </xf>
    <xf numFmtId="44" fontId="53" fillId="0" borderId="0" xfId="0" applyNumberFormat="1" applyFont="1"/>
    <xf numFmtId="164" fontId="53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67" fontId="0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16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/>
    <xf numFmtId="0" fontId="0" fillId="0" borderId="0" xfId="0" applyFont="1" applyBorder="1"/>
    <xf numFmtId="0" fontId="53" fillId="0" borderId="0" xfId="0" applyFont="1" applyBorder="1"/>
    <xf numFmtId="0" fontId="53" fillId="0" borderId="0" xfId="0" applyFont="1"/>
    <xf numFmtId="0" fontId="0" fillId="2" borderId="1" xfId="0" applyFont="1" applyFill="1" applyBorder="1" applyAlignment="1">
      <alignment horizontal="left" vertical="center" wrapText="1"/>
    </xf>
    <xf numFmtId="9" fontId="0" fillId="4" borderId="1" xfId="3" applyFont="1" applyFill="1" applyBorder="1" applyAlignment="1">
      <alignment horizontal="center" vertical="center"/>
    </xf>
    <xf numFmtId="167" fontId="0" fillId="2" borderId="1" xfId="3" applyNumberFormat="1" applyFont="1" applyFill="1" applyBorder="1" applyAlignment="1">
      <alignment horizontal="center" vertical="center"/>
    </xf>
    <xf numFmtId="10" fontId="27" fillId="4" borderId="1" xfId="0" applyNumberFormat="1" applyFont="1" applyFill="1" applyBorder="1" applyAlignment="1">
      <alignment horizontal="center" vertical="center"/>
    </xf>
    <xf numFmtId="167" fontId="27" fillId="2" borderId="1" xfId="27" applyNumberFormat="1" applyFont="1" applyFill="1" applyBorder="1" applyAlignment="1">
      <alignment horizontal="center" vertical="center"/>
    </xf>
    <xf numFmtId="167" fontId="66" fillId="2" borderId="1" xfId="27" applyNumberFormat="1" applyFont="1" applyFill="1" applyBorder="1" applyAlignment="1">
      <alignment horizontal="center" vertical="center"/>
    </xf>
    <xf numFmtId="167" fontId="0" fillId="0" borderId="0" xfId="0" applyNumberFormat="1" applyFont="1" applyBorder="1"/>
    <xf numFmtId="167" fontId="0" fillId="0" borderId="3" xfId="0" applyNumberFormat="1" applyFont="1" applyBorder="1"/>
    <xf numFmtId="44" fontId="53" fillId="0" borderId="0" xfId="0" applyNumberFormat="1" applyFont="1" applyAlignment="1">
      <alignment vertical="center"/>
    </xf>
    <xf numFmtId="44" fontId="53" fillId="0" borderId="0" xfId="0" applyNumberFormat="1" applyFont="1" applyAlignment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left"/>
    </xf>
    <xf numFmtId="0" fontId="46" fillId="0" borderId="3" xfId="0" applyFont="1" applyFill="1" applyBorder="1" applyAlignment="1">
      <alignment horizontal="left"/>
    </xf>
    <xf numFmtId="0" fontId="73" fillId="0" borderId="8" xfId="0" applyFont="1" applyBorder="1" applyAlignment="1">
      <alignment horizontal="center"/>
    </xf>
    <xf numFmtId="0" fontId="73" fillId="0" borderId="0" xfId="0" applyFont="1" applyAlignment="1">
      <alignment horizontal="center"/>
    </xf>
    <xf numFmtId="1" fontId="46" fillId="0" borderId="0" xfId="0" applyNumberFormat="1" applyFont="1" applyBorder="1" applyAlignment="1">
      <alignment horizontal="left"/>
    </xf>
    <xf numFmtId="0" fontId="5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4" fillId="0" borderId="10" xfId="0" applyFont="1" applyBorder="1" applyAlignment="1">
      <alignment horizontal="center"/>
    </xf>
    <xf numFmtId="0" fontId="54" fillId="0" borderId="12" xfId="0" applyFont="1" applyBorder="1" applyAlignment="1">
      <alignment horizontal="center"/>
    </xf>
    <xf numFmtId="14" fontId="54" fillId="0" borderId="10" xfId="0" applyNumberFormat="1" applyFont="1" applyBorder="1" applyAlignment="1">
      <alignment horizontal="center"/>
    </xf>
    <xf numFmtId="14" fontId="54" fillId="0" borderId="12" xfId="0" applyNumberFormat="1" applyFont="1" applyBorder="1" applyAlignment="1">
      <alignment horizontal="center"/>
    </xf>
    <xf numFmtId="17" fontId="54" fillId="0" borderId="10" xfId="0" applyNumberFormat="1" applyFont="1" applyBorder="1" applyAlignment="1">
      <alignment horizontal="center"/>
    </xf>
    <xf numFmtId="17" fontId="54" fillId="0" borderId="12" xfId="0" applyNumberFormat="1" applyFont="1" applyBorder="1" applyAlignment="1">
      <alignment horizontal="center"/>
    </xf>
    <xf numFmtId="0" fontId="54" fillId="0" borderId="11" xfId="0" applyFont="1" applyBorder="1" applyAlignment="1">
      <alignment horizontal="center"/>
    </xf>
    <xf numFmtId="0" fontId="59" fillId="0" borderId="10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7" fontId="4" fillId="0" borderId="12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44" fontId="53" fillId="0" borderId="0" xfId="0" applyNumberFormat="1" applyFont="1" applyAlignment="1">
      <alignment horizontal="center"/>
    </xf>
    <xf numFmtId="0" fontId="0" fillId="0" borderId="25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30" xfId="0" applyBorder="1" applyAlignment="1">
      <alignment horizontal="center"/>
    </xf>
    <xf numFmtId="0" fontId="57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10" fontId="27" fillId="0" borderId="10" xfId="3" applyNumberFormat="1" applyFont="1" applyBorder="1" applyAlignment="1">
      <alignment horizontal="center"/>
    </xf>
    <xf numFmtId="10" fontId="27" fillId="0" borderId="12" xfId="3" applyNumberFormat="1" applyFont="1" applyBorder="1" applyAlignment="1">
      <alignment horizontal="center"/>
    </xf>
    <xf numFmtId="10" fontId="0" fillId="0" borderId="10" xfId="3" applyNumberFormat="1" applyFont="1" applyBorder="1" applyAlignment="1">
      <alignment horizontal="center"/>
    </xf>
    <xf numFmtId="10" fontId="0" fillId="0" borderId="12" xfId="3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7" fillId="0" borderId="10" xfId="0" applyFont="1" applyBorder="1" applyAlignment="1">
      <alignment horizontal="center" vertical="center"/>
    </xf>
    <xf numFmtId="0" fontId="57" fillId="0" borderId="11" xfId="0" applyFont="1" applyBorder="1" applyAlignment="1">
      <alignment horizontal="center" vertical="center"/>
    </xf>
    <xf numFmtId="0" fontId="57" fillId="0" borderId="12" xfId="0" applyFont="1" applyBorder="1" applyAlignment="1">
      <alignment horizontal="center" vertical="center"/>
    </xf>
    <xf numFmtId="44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4" fontId="27" fillId="0" borderId="10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0" borderId="12" xfId="1" applyFont="1" applyBorder="1" applyAlignment="1">
      <alignment horizontal="center"/>
    </xf>
    <xf numFmtId="44" fontId="27" fillId="0" borderId="10" xfId="1" applyFont="1" applyBorder="1" applyAlignment="1">
      <alignment horizontal="center"/>
    </xf>
    <xf numFmtId="44" fontId="27" fillId="0" borderId="12" xfId="1" applyFont="1" applyBorder="1" applyAlignment="1">
      <alignment horizontal="center"/>
    </xf>
    <xf numFmtId="17" fontId="4" fillId="0" borderId="10" xfId="0" applyNumberFormat="1" applyFont="1" applyBorder="1" applyAlignment="1">
      <alignment horizontal="center"/>
    </xf>
    <xf numFmtId="17" fontId="4" fillId="0" borderId="11" xfId="0" applyNumberFormat="1" applyFont="1" applyBorder="1" applyAlignment="1">
      <alignment horizontal="center"/>
    </xf>
    <xf numFmtId="17" fontId="4" fillId="0" borderId="12" xfId="0" applyNumberFormat="1" applyFont="1" applyBorder="1" applyAlignment="1">
      <alignment horizontal="center"/>
    </xf>
    <xf numFmtId="9" fontId="27" fillId="0" borderId="10" xfId="3" applyFont="1" applyBorder="1" applyAlignment="1">
      <alignment horizontal="center"/>
    </xf>
    <xf numFmtId="9" fontId="27" fillId="0" borderId="12" xfId="3" applyFont="1" applyBorder="1" applyAlignment="1">
      <alignment horizontal="center"/>
    </xf>
    <xf numFmtId="0" fontId="67" fillId="0" borderId="7" xfId="0" applyFont="1" applyBorder="1" applyAlignment="1">
      <alignment horizontal="center"/>
    </xf>
    <xf numFmtId="0" fontId="67" fillId="0" borderId="8" xfId="0" applyFont="1" applyBorder="1" applyAlignment="1">
      <alignment horizontal="center"/>
    </xf>
    <xf numFmtId="0" fontId="67" fillId="0" borderId="9" xfId="0" applyFont="1" applyBorder="1" applyAlignment="1">
      <alignment horizontal="center"/>
    </xf>
    <xf numFmtId="0" fontId="43" fillId="0" borderId="1" xfId="0" applyFont="1" applyBorder="1" applyAlignment="1">
      <alignment horizontal="right"/>
    </xf>
    <xf numFmtId="0" fontId="8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/>
    </xf>
    <xf numFmtId="0" fontId="7" fillId="0" borderId="10" xfId="6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7" fontId="7" fillId="0" borderId="1" xfId="6" applyNumberFormat="1" applyFont="1" applyBorder="1" applyAlignment="1">
      <alignment horizontal="center" vertical="center"/>
    </xf>
    <xf numFmtId="166" fontId="6" fillId="0" borderId="29" xfId="11" applyNumberFormat="1" applyFont="1" applyFill="1" applyBorder="1" applyAlignment="1">
      <alignment horizontal="center" vertical="center"/>
    </xf>
    <xf numFmtId="169" fontId="6" fillId="0" borderId="29" xfId="11" applyNumberFormat="1" applyFont="1" applyFill="1" applyBorder="1" applyAlignment="1">
      <alignment horizontal="center" vertical="center"/>
    </xf>
    <xf numFmtId="0" fontId="7" fillId="3" borderId="27" xfId="11" applyFont="1" applyFill="1" applyBorder="1" applyAlignment="1">
      <alignment horizontal="center" vertical="center" wrapText="1"/>
    </xf>
    <xf numFmtId="0" fontId="7" fillId="3" borderId="14" xfId="11" applyFont="1" applyFill="1" applyBorder="1" applyAlignment="1">
      <alignment horizontal="center" vertical="center"/>
    </xf>
    <xf numFmtId="0" fontId="7" fillId="3" borderId="15" xfId="11" applyFont="1" applyFill="1" applyBorder="1" applyAlignment="1">
      <alignment horizontal="center" vertical="center"/>
    </xf>
    <xf numFmtId="0" fontId="7" fillId="3" borderId="16" xfId="11" applyFont="1" applyFill="1" applyBorder="1" applyAlignment="1">
      <alignment horizontal="center" vertical="center"/>
    </xf>
    <xf numFmtId="0" fontId="7" fillId="3" borderId="52" xfId="11" applyFont="1" applyFill="1" applyBorder="1" applyAlignment="1">
      <alignment horizontal="center"/>
    </xf>
    <xf numFmtId="0" fontId="7" fillId="3" borderId="34" xfId="11" applyFont="1" applyFill="1" applyBorder="1" applyAlignment="1">
      <alignment horizontal="center"/>
    </xf>
    <xf numFmtId="0" fontId="7" fillId="3" borderId="53" xfId="11" applyFont="1" applyFill="1" applyBorder="1" applyAlignment="1">
      <alignment horizontal="center"/>
    </xf>
    <xf numFmtId="0" fontId="7" fillId="3" borderId="26" xfId="11" applyFont="1" applyFill="1" applyBorder="1" applyAlignment="1">
      <alignment horizontal="center" vertical="center" wrapText="1"/>
    </xf>
    <xf numFmtId="0" fontId="8" fillId="0" borderId="33" xfId="11" applyFont="1" applyFill="1" applyBorder="1" applyAlignment="1">
      <alignment horizontal="center" vertical="center"/>
    </xf>
    <xf numFmtId="0" fontId="8" fillId="0" borderId="24" xfId="11" applyFont="1" applyFill="1" applyBorder="1" applyAlignment="1">
      <alignment horizontal="center" vertical="center"/>
    </xf>
    <xf numFmtId="0" fontId="8" fillId="0" borderId="22" xfId="11" applyFont="1" applyFill="1" applyBorder="1" applyAlignment="1">
      <alignment horizontal="center" vertical="center"/>
    </xf>
    <xf numFmtId="0" fontId="8" fillId="0" borderId="23" xfId="11" applyFont="1" applyFill="1" applyBorder="1" applyAlignment="1">
      <alignment horizontal="center" vertical="center"/>
    </xf>
    <xf numFmtId="0" fontId="7" fillId="0" borderId="26" xfId="11" applyFont="1" applyFill="1" applyBorder="1" applyAlignment="1">
      <alignment horizontal="center" vertical="center"/>
    </xf>
    <xf numFmtId="0" fontId="7" fillId="0" borderId="27" xfId="11" applyFont="1" applyFill="1" applyBorder="1" applyAlignment="1">
      <alignment horizontal="center" vertical="center"/>
    </xf>
    <xf numFmtId="0" fontId="36" fillId="0" borderId="36" xfId="11" applyFont="1" applyBorder="1" applyAlignment="1">
      <alignment horizontal="center" vertical="center"/>
    </xf>
    <xf numFmtId="0" fontId="36" fillId="0" borderId="15" xfId="11" applyFont="1" applyBorder="1" applyAlignment="1">
      <alignment horizontal="center" vertical="center"/>
    </xf>
    <xf numFmtId="0" fontId="36" fillId="0" borderId="50" xfId="11" applyFont="1" applyBorder="1" applyAlignment="1">
      <alignment horizontal="center" vertical="center"/>
    </xf>
    <xf numFmtId="0" fontId="36" fillId="0" borderId="16" xfId="11" applyFont="1" applyBorder="1" applyAlignment="1">
      <alignment horizontal="center" vertical="center"/>
    </xf>
    <xf numFmtId="0" fontId="7" fillId="0" borderId="28" xfId="11" applyFont="1" applyBorder="1" applyAlignment="1">
      <alignment horizontal="center" vertical="center"/>
    </xf>
    <xf numFmtId="0" fontId="7" fillId="0" borderId="29" xfId="11" applyFont="1" applyBorder="1" applyAlignment="1">
      <alignment horizontal="center" vertical="center"/>
    </xf>
    <xf numFmtId="0" fontId="36" fillId="0" borderId="51" xfId="11" applyFont="1" applyBorder="1" applyAlignment="1">
      <alignment horizontal="center" vertical="center"/>
    </xf>
    <xf numFmtId="0" fontId="36" fillId="0" borderId="48" xfId="11" applyFont="1" applyBorder="1" applyAlignment="1">
      <alignment horizontal="center" vertical="center"/>
    </xf>
    <xf numFmtId="0" fontId="36" fillId="0" borderId="49" xfId="11" applyFont="1" applyBorder="1" applyAlignment="1">
      <alignment horizontal="center" vertical="center"/>
    </xf>
    <xf numFmtId="0" fontId="36" fillId="0" borderId="29" xfId="11" applyFont="1" applyBorder="1" applyAlignment="1">
      <alignment horizontal="center" vertical="center"/>
    </xf>
    <xf numFmtId="2" fontId="12" fillId="0" borderId="10" xfId="4" applyNumberFormat="1" applyFont="1" applyFill="1" applyBorder="1" applyAlignment="1">
      <alignment horizontal="center" vertical="center"/>
    </xf>
    <xf numFmtId="2" fontId="12" fillId="0" borderId="11" xfId="4" applyNumberFormat="1" applyFont="1" applyFill="1" applyBorder="1" applyAlignment="1">
      <alignment horizontal="center" vertical="center"/>
    </xf>
    <xf numFmtId="2" fontId="12" fillId="0" borderId="12" xfId="4" applyNumberFormat="1" applyFont="1" applyFill="1" applyBorder="1" applyAlignment="1">
      <alignment horizontal="center" vertical="center"/>
    </xf>
    <xf numFmtId="10" fontId="12" fillId="0" borderId="10" xfId="4" applyNumberFormat="1" applyFont="1" applyFill="1" applyBorder="1" applyAlignment="1">
      <alignment horizontal="center"/>
    </xf>
    <xf numFmtId="10" fontId="12" fillId="0" borderId="11" xfId="4" applyNumberFormat="1" applyFont="1" applyFill="1" applyBorder="1" applyAlignment="1">
      <alignment horizontal="center"/>
    </xf>
    <xf numFmtId="10" fontId="12" fillId="0" borderId="12" xfId="4" applyNumberFormat="1" applyFont="1" applyFill="1" applyBorder="1" applyAlignment="1">
      <alignment horizontal="center"/>
    </xf>
    <xf numFmtId="0" fontId="12" fillId="3" borderId="25" xfId="19" applyFont="1" applyFill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/>
    </xf>
    <xf numFmtId="1" fontId="10" fillId="3" borderId="10" xfId="4" applyNumberFormat="1" applyFont="1" applyFill="1" applyBorder="1" applyAlignment="1">
      <alignment horizontal="left" vertical="center"/>
    </xf>
    <xf numFmtId="1" fontId="10" fillId="3" borderId="11" xfId="4" applyNumberFormat="1" applyFont="1" applyFill="1" applyBorder="1" applyAlignment="1">
      <alignment horizontal="left" vertical="center"/>
    </xf>
    <xf numFmtId="1" fontId="10" fillId="3" borderId="12" xfId="4" applyNumberFormat="1" applyFont="1" applyFill="1" applyBorder="1" applyAlignment="1">
      <alignment horizontal="left" vertical="center"/>
    </xf>
    <xf numFmtId="0" fontId="49" fillId="0" borderId="2" xfId="19" applyFont="1" applyBorder="1" applyAlignment="1">
      <alignment horizontal="center" vertical="center" wrapText="1"/>
    </xf>
    <xf numFmtId="0" fontId="49" fillId="0" borderId="3" xfId="19" applyFont="1" applyBorder="1" applyAlignment="1">
      <alignment horizontal="center" vertical="center" wrapText="1"/>
    </xf>
    <xf numFmtId="0" fontId="49" fillId="0" borderId="4" xfId="19" applyFont="1" applyBorder="1" applyAlignment="1">
      <alignment horizontal="center" vertical="center" wrapText="1"/>
    </xf>
    <xf numFmtId="0" fontId="49" fillId="0" borderId="5" xfId="19" applyFont="1" applyBorder="1" applyAlignment="1">
      <alignment horizontal="center" vertical="center" wrapText="1"/>
    </xf>
    <xf numFmtId="0" fontId="49" fillId="0" borderId="0" xfId="19" applyFont="1" applyBorder="1" applyAlignment="1">
      <alignment horizontal="center" vertical="center" wrapText="1"/>
    </xf>
    <xf numFmtId="0" fontId="49" fillId="0" borderId="6" xfId="19" applyFont="1" applyBorder="1" applyAlignment="1">
      <alignment horizontal="center" vertical="center" wrapText="1"/>
    </xf>
    <xf numFmtId="0" fontId="49" fillId="0" borderId="7" xfId="19" applyFont="1" applyBorder="1" applyAlignment="1">
      <alignment horizontal="center" vertical="center" wrapText="1"/>
    </xf>
    <xf numFmtId="0" fontId="49" fillId="0" borderId="8" xfId="19" applyFont="1" applyBorder="1" applyAlignment="1">
      <alignment horizontal="center" vertical="center" wrapText="1"/>
    </xf>
    <xf numFmtId="0" fontId="49" fillId="0" borderId="9" xfId="19" applyFont="1" applyBorder="1" applyAlignment="1">
      <alignment horizontal="center" vertical="center" wrapText="1"/>
    </xf>
    <xf numFmtId="0" fontId="12" fillId="3" borderId="1" xfId="19" applyFont="1" applyFill="1" applyBorder="1" applyAlignment="1">
      <alignment horizontal="center" vertical="center" textRotation="90"/>
    </xf>
    <xf numFmtId="0" fontId="12" fillId="3" borderId="25" xfId="19" applyFont="1" applyFill="1" applyBorder="1" applyAlignment="1">
      <alignment horizontal="center" vertical="center" textRotation="90"/>
    </xf>
    <xf numFmtId="0" fontId="12" fillId="3" borderId="1" xfId="19" applyFont="1" applyFill="1" applyBorder="1" applyAlignment="1">
      <alignment horizontal="center" vertical="center"/>
    </xf>
    <xf numFmtId="0" fontId="12" fillId="3" borderId="1" xfId="19" applyFont="1" applyFill="1" applyBorder="1" applyAlignment="1">
      <alignment horizontal="center" vertical="center" wrapText="1"/>
    </xf>
    <xf numFmtId="0" fontId="12" fillId="3" borderId="25" xfId="19" applyFont="1" applyFill="1" applyBorder="1" applyAlignment="1">
      <alignment horizontal="center" vertical="center" wrapText="1"/>
    </xf>
    <xf numFmtId="0" fontId="12" fillId="3" borderId="1" xfId="19" applyFont="1" applyFill="1" applyBorder="1" applyAlignment="1">
      <alignment horizontal="center" vertical="center" textRotation="90" wrapText="1"/>
    </xf>
    <xf numFmtId="0" fontId="12" fillId="3" borderId="25" xfId="19" applyFont="1" applyFill="1" applyBorder="1" applyAlignment="1">
      <alignment horizontal="center" vertical="center" textRotation="90" wrapText="1"/>
    </xf>
    <xf numFmtId="0" fontId="48" fillId="0" borderId="11" xfId="19" applyFont="1" applyBorder="1" applyAlignment="1">
      <alignment horizontal="center" vertical="center"/>
    </xf>
    <xf numFmtId="14" fontId="50" fillId="0" borderId="11" xfId="19" applyNumberFormat="1" applyFont="1" applyBorder="1" applyAlignment="1">
      <alignment horizontal="center" vertical="center"/>
    </xf>
    <xf numFmtId="0" fontId="50" fillId="0" borderId="11" xfId="19" applyFont="1" applyBorder="1" applyAlignment="1">
      <alignment horizontal="center" vertical="center"/>
    </xf>
    <xf numFmtId="17" fontId="49" fillId="0" borderId="1" xfId="19" applyNumberFormat="1" applyFont="1" applyBorder="1" applyAlignment="1">
      <alignment horizontal="center" vertical="center"/>
    </xf>
    <xf numFmtId="0" fontId="49" fillId="0" borderId="1" xfId="19" applyFont="1" applyBorder="1" applyAlignment="1">
      <alignment horizontal="center" vertical="center"/>
    </xf>
    <xf numFmtId="0" fontId="66" fillId="0" borderId="11" xfId="19" applyFont="1" applyBorder="1" applyAlignment="1">
      <alignment horizontal="center" vertical="center" wrapText="1"/>
    </xf>
    <xf numFmtId="0" fontId="66" fillId="0" borderId="12" xfId="19" applyFont="1" applyBorder="1" applyAlignment="1">
      <alignment horizontal="center" vertical="center" wrapText="1"/>
    </xf>
    <xf numFmtId="0" fontId="49" fillId="0" borderId="10" xfId="19" applyFont="1" applyBorder="1" applyAlignment="1">
      <alignment horizontal="center" vertical="center"/>
    </xf>
    <xf numFmtId="0" fontId="49" fillId="0" borderId="11" xfId="19" applyFont="1" applyBorder="1" applyAlignment="1">
      <alignment horizontal="center" vertical="center"/>
    </xf>
    <xf numFmtId="0" fontId="49" fillId="0" borderId="12" xfId="19" applyFont="1" applyBorder="1" applyAlignment="1">
      <alignment horizontal="center" vertical="center"/>
    </xf>
    <xf numFmtId="0" fontId="12" fillId="3" borderId="10" xfId="19" applyFont="1" applyFill="1" applyBorder="1" applyAlignment="1">
      <alignment horizontal="center" vertical="center" wrapText="1"/>
    </xf>
    <xf numFmtId="0" fontId="12" fillId="3" borderId="11" xfId="19" applyFont="1" applyFill="1" applyBorder="1" applyAlignment="1">
      <alignment horizontal="center" vertical="center" wrapText="1"/>
    </xf>
    <xf numFmtId="0" fontId="12" fillId="3" borderId="12" xfId="19" applyFont="1" applyFill="1" applyBorder="1" applyAlignment="1">
      <alignment horizontal="center" vertical="center" wrapText="1"/>
    </xf>
    <xf numFmtId="14" fontId="49" fillId="0" borderId="10" xfId="19" applyNumberFormat="1" applyFont="1" applyBorder="1" applyAlignment="1">
      <alignment horizontal="center" vertical="center"/>
    </xf>
    <xf numFmtId="14" fontId="49" fillId="0" borderId="11" xfId="19" applyNumberFormat="1" applyFont="1" applyBorder="1" applyAlignment="1">
      <alignment horizontal="center" vertical="center"/>
    </xf>
    <xf numFmtId="14" fontId="49" fillId="0" borderId="12" xfId="19" applyNumberFormat="1" applyFont="1" applyBorder="1" applyAlignment="1">
      <alignment horizontal="center" vertical="center"/>
    </xf>
    <xf numFmtId="1" fontId="10" fillId="0" borderId="1" xfId="4" applyNumberFormat="1" applyFont="1" applyFill="1" applyBorder="1" applyAlignment="1">
      <alignment horizontal="right" vertical="center"/>
    </xf>
    <xf numFmtId="1" fontId="10" fillId="2" borderId="1" xfId="4" applyNumberFormat="1" applyFont="1" applyFill="1" applyBorder="1" applyAlignment="1">
      <alignment horizontal="right" vertical="center" wrapText="1"/>
    </xf>
    <xf numFmtId="1" fontId="10" fillId="0" borderId="1" xfId="4" applyNumberFormat="1" applyFont="1" applyFill="1" applyBorder="1" applyAlignment="1">
      <alignment horizontal="right" vertical="center" wrapText="1"/>
    </xf>
    <xf numFmtId="0" fontId="10" fillId="5" borderId="1" xfId="4" applyFont="1" applyFill="1" applyBorder="1" applyAlignment="1">
      <alignment horizontal="center"/>
    </xf>
    <xf numFmtId="1" fontId="10" fillId="0" borderId="1" xfId="6" applyNumberFormat="1" applyFont="1" applyFill="1" applyBorder="1" applyAlignment="1">
      <alignment horizontal="right" vertical="center"/>
    </xf>
    <xf numFmtId="0" fontId="11" fillId="0" borderId="1" xfId="6" applyFont="1" applyBorder="1" applyAlignment="1">
      <alignment horizontal="center" vertical="center"/>
    </xf>
    <xf numFmtId="17" fontId="11" fillId="0" borderId="1" xfId="6" applyNumberFormat="1" applyFont="1" applyBorder="1" applyAlignment="1">
      <alignment horizontal="center" vertical="center"/>
    </xf>
    <xf numFmtId="0" fontId="11" fillId="0" borderId="10" xfId="6" applyFont="1" applyBorder="1" applyAlignment="1">
      <alignment horizontal="center" vertical="center"/>
    </xf>
    <xf numFmtId="0" fontId="11" fillId="0" borderId="11" xfId="6" applyFont="1" applyBorder="1" applyAlignment="1">
      <alignment horizontal="center" vertical="center"/>
    </xf>
    <xf numFmtId="0" fontId="11" fillId="0" borderId="12" xfId="6" applyFont="1" applyBorder="1" applyAlignment="1">
      <alignment horizontal="center" vertical="center"/>
    </xf>
    <xf numFmtId="0" fontId="11" fillId="5" borderId="10" xfId="17" applyFont="1" applyFill="1" applyBorder="1" applyAlignment="1">
      <alignment horizontal="center" vertical="center" wrapText="1"/>
    </xf>
    <xf numFmtId="0" fontId="11" fillId="5" borderId="11" xfId="17" applyFont="1" applyFill="1" applyBorder="1" applyAlignment="1">
      <alignment horizontal="center" vertical="center" wrapText="1"/>
    </xf>
    <xf numFmtId="0" fontId="11" fillId="5" borderId="12" xfId="17" applyFont="1" applyFill="1" applyBorder="1" applyAlignment="1">
      <alignment horizontal="center" vertical="center" wrapText="1"/>
    </xf>
    <xf numFmtId="0" fontId="10" fillId="5" borderId="1" xfId="17" applyFont="1" applyFill="1" applyBorder="1" applyAlignment="1">
      <alignment horizontal="center"/>
    </xf>
    <xf numFmtId="1" fontId="11" fillId="0" borderId="10" xfId="4" applyNumberFormat="1" applyFont="1" applyBorder="1" applyAlignment="1">
      <alignment horizontal="right" vertical="center"/>
    </xf>
    <xf numFmtId="1" fontId="11" fillId="0" borderId="11" xfId="4" applyNumberFormat="1" applyFont="1" applyBorder="1" applyAlignment="1">
      <alignment horizontal="right" vertical="center"/>
    </xf>
    <xf numFmtId="1" fontId="11" fillId="0" borderId="12" xfId="4" applyNumberFormat="1" applyFont="1" applyBorder="1" applyAlignment="1">
      <alignment horizontal="right" vertical="center"/>
    </xf>
    <xf numFmtId="0" fontId="6" fillId="0" borderId="2" xfId="17" applyFont="1" applyFill="1" applyBorder="1" applyAlignment="1">
      <alignment horizontal="center"/>
    </xf>
    <xf numFmtId="0" fontId="6" fillId="0" borderId="3" xfId="17" applyFont="1" applyFill="1" applyBorder="1" applyAlignment="1">
      <alignment horizontal="center"/>
    </xf>
    <xf numFmtId="0" fontId="6" fillId="0" borderId="4" xfId="17" applyFont="1" applyFill="1" applyBorder="1" applyAlignment="1">
      <alignment horizontal="center"/>
    </xf>
    <xf numFmtId="0" fontId="6" fillId="0" borderId="5" xfId="17" applyFont="1" applyFill="1" applyBorder="1" applyAlignment="1">
      <alignment horizontal="center"/>
    </xf>
    <xf numFmtId="0" fontId="6" fillId="0" borderId="0" xfId="17" applyFont="1" applyFill="1" applyBorder="1" applyAlignment="1">
      <alignment horizontal="center"/>
    </xf>
    <xf numFmtId="0" fontId="6" fillId="0" borderId="6" xfId="17" applyFont="1" applyFill="1" applyBorder="1" applyAlignment="1">
      <alignment horizontal="center"/>
    </xf>
    <xf numFmtId="0" fontId="6" fillId="0" borderId="7" xfId="17" applyFont="1" applyFill="1" applyBorder="1" applyAlignment="1">
      <alignment horizontal="center"/>
    </xf>
    <xf numFmtId="0" fontId="6" fillId="0" borderId="8" xfId="17" applyFont="1" applyFill="1" applyBorder="1" applyAlignment="1">
      <alignment horizontal="center"/>
    </xf>
    <xf numFmtId="0" fontId="6" fillId="0" borderId="9" xfId="17" applyFont="1" applyFill="1" applyBorder="1" applyAlignment="1">
      <alignment horizontal="center"/>
    </xf>
    <xf numFmtId="0" fontId="8" fillId="0" borderId="11" xfId="17" applyFont="1" applyFill="1" applyBorder="1" applyAlignment="1">
      <alignment horizontal="center" vertical="center" wrapText="1"/>
    </xf>
    <xf numFmtId="0" fontId="8" fillId="0" borderId="12" xfId="17" applyFont="1" applyFill="1" applyBorder="1" applyAlignment="1">
      <alignment horizontal="center" vertical="center" wrapText="1"/>
    </xf>
    <xf numFmtId="0" fontId="11" fillId="0" borderId="11" xfId="17" applyFont="1" applyBorder="1" applyAlignment="1">
      <alignment horizontal="center" vertical="center"/>
    </xf>
    <xf numFmtId="0" fontId="11" fillId="0" borderId="12" xfId="17" applyFont="1" applyBorder="1" applyAlignment="1">
      <alignment horizontal="center" vertical="center"/>
    </xf>
    <xf numFmtId="2" fontId="11" fillId="0" borderId="1" xfId="18" applyNumberFormat="1" applyFont="1" applyBorder="1" applyAlignment="1">
      <alignment horizontal="center" vertical="center"/>
    </xf>
    <xf numFmtId="17" fontId="11" fillId="0" borderId="1" xfId="18" applyNumberFormat="1" applyFont="1" applyBorder="1" applyAlignment="1">
      <alignment horizontal="center" vertical="center"/>
    </xf>
    <xf numFmtId="0" fontId="11" fillId="0" borderId="11" xfId="18" applyFont="1" applyBorder="1" applyAlignment="1">
      <alignment horizontal="center" vertical="center"/>
    </xf>
    <xf numFmtId="0" fontId="11" fillId="0" borderId="12" xfId="18" applyFont="1" applyBorder="1" applyAlignment="1">
      <alignment horizontal="center" vertical="center"/>
    </xf>
    <xf numFmtId="2" fontId="11" fillId="0" borderId="1" xfId="4" applyNumberFormat="1" applyFont="1" applyFill="1" applyBorder="1" applyAlignment="1">
      <alignment horizontal="right"/>
    </xf>
    <xf numFmtId="0" fontId="10" fillId="5" borderId="1" xfId="18" applyFont="1" applyFill="1" applyBorder="1" applyAlignment="1">
      <alignment horizontal="center"/>
    </xf>
    <xf numFmtId="0" fontId="8" fillId="0" borderId="1" xfId="18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0" fillId="5" borderId="10" xfId="18" applyFont="1" applyFill="1" applyBorder="1" applyAlignment="1">
      <alignment horizontal="center"/>
    </xf>
    <xf numFmtId="0" fontId="10" fillId="5" borderId="11" xfId="18" applyFont="1" applyFill="1" applyBorder="1" applyAlignment="1">
      <alignment horizontal="center"/>
    </xf>
    <xf numFmtId="0" fontId="10" fillId="5" borderId="12" xfId="18" applyFont="1" applyFill="1" applyBorder="1" applyAlignment="1">
      <alignment horizontal="center"/>
    </xf>
    <xf numFmtId="1" fontId="10" fillId="0" borderId="10" xfId="4" applyNumberFormat="1" applyFont="1" applyFill="1" applyBorder="1" applyAlignment="1">
      <alignment horizontal="right" vertical="center"/>
    </xf>
    <xf numFmtId="1" fontId="10" fillId="0" borderId="11" xfId="4" applyNumberFormat="1" applyFont="1" applyFill="1" applyBorder="1" applyAlignment="1">
      <alignment horizontal="right" vertical="center"/>
    </xf>
    <xf numFmtId="1" fontId="10" fillId="0" borderId="12" xfId="4" applyNumberFormat="1" applyFont="1" applyFill="1" applyBorder="1" applyAlignment="1">
      <alignment horizontal="right" vertical="center"/>
    </xf>
    <xf numFmtId="1" fontId="10" fillId="0" borderId="1" xfId="4" applyNumberFormat="1" applyFont="1" applyBorder="1" applyAlignment="1">
      <alignment horizontal="right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61" fillId="3" borderId="2" xfId="0" applyFont="1" applyFill="1" applyBorder="1" applyAlignment="1">
      <alignment horizontal="left" vertical="top" wrapText="1"/>
    </xf>
    <xf numFmtId="0" fontId="61" fillId="3" borderId="3" xfId="0" applyFont="1" applyFill="1" applyBorder="1" applyAlignment="1">
      <alignment horizontal="left" vertical="top" wrapText="1"/>
    </xf>
    <xf numFmtId="0" fontId="61" fillId="3" borderId="4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/>
    </xf>
    <xf numFmtId="10" fontId="18" fillId="0" borderId="1" xfId="3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4" fillId="7" borderId="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1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18" fillId="0" borderId="4" xfId="0" applyFont="1" applyBorder="1" applyAlignment="1">
      <alignment horizontal="center" vertical="top"/>
    </xf>
    <xf numFmtId="0" fontId="64" fillId="5" borderId="10" xfId="0" applyFont="1" applyFill="1" applyBorder="1" applyAlignment="1">
      <alignment horizontal="center" vertical="center" wrapText="1"/>
    </xf>
    <xf numFmtId="0" fontId="64" fillId="5" borderId="11" xfId="0" applyFont="1" applyFill="1" applyBorder="1" applyAlignment="1">
      <alignment horizontal="center" vertical="center" wrapText="1"/>
    </xf>
    <xf numFmtId="0" fontId="64" fillId="5" borderId="12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/>
    </xf>
    <xf numFmtId="17" fontId="54" fillId="0" borderId="1" xfId="0" applyNumberFormat="1" applyFont="1" applyBorder="1" applyAlignment="1">
      <alignment horizontal="center" vertical="center" wrapText="1"/>
    </xf>
    <xf numFmtId="17" fontId="54" fillId="0" borderId="1" xfId="0" applyNumberFormat="1" applyFont="1" applyBorder="1" applyAlignment="1">
      <alignment horizontal="center" vertical="center"/>
    </xf>
    <xf numFmtId="14" fontId="54" fillId="0" borderId="1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3" fillId="5" borderId="10" xfId="0" applyFont="1" applyFill="1" applyBorder="1" applyAlignment="1">
      <alignment horizontal="center" vertical="center" wrapText="1"/>
    </xf>
    <xf numFmtId="0" fontId="53" fillId="5" borderId="11" xfId="0" applyFont="1" applyFill="1" applyBorder="1" applyAlignment="1">
      <alignment horizontal="center" vertical="center" wrapText="1"/>
    </xf>
    <xf numFmtId="0" fontId="53" fillId="5" borderId="1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3" xfId="0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0" fillId="3" borderId="12" xfId="0" applyFont="1" applyFill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17" fontId="28" fillId="2" borderId="25" xfId="0" applyNumberFormat="1" applyFont="1" applyFill="1" applyBorder="1" applyAlignment="1">
      <alignment horizontal="center"/>
    </xf>
    <xf numFmtId="17" fontId="28" fillId="2" borderId="59" xfId="0" applyNumberFormat="1" applyFont="1" applyFill="1" applyBorder="1" applyAlignment="1">
      <alignment horizontal="center"/>
    </xf>
    <xf numFmtId="17" fontId="28" fillId="2" borderId="30" xfId="0" applyNumberFormat="1" applyFont="1" applyFill="1" applyBorder="1" applyAlignment="1">
      <alignment horizontal="center"/>
    </xf>
    <xf numFmtId="17" fontId="34" fillId="2" borderId="10" xfId="0" applyNumberFormat="1" applyFont="1" applyFill="1" applyBorder="1" applyAlignment="1">
      <alignment horizontal="left" vertical="center"/>
    </xf>
    <xf numFmtId="17" fontId="34" fillId="2" borderId="11" xfId="0" applyNumberFormat="1" applyFont="1" applyFill="1" applyBorder="1" applyAlignment="1">
      <alignment horizontal="left" vertical="center"/>
    </xf>
    <xf numFmtId="17" fontId="34" fillId="2" borderId="12" xfId="0" applyNumberFormat="1" applyFont="1" applyFill="1" applyBorder="1" applyAlignment="1">
      <alignment horizontal="left" vertical="center"/>
    </xf>
    <xf numFmtId="0" fontId="33" fillId="0" borderId="10" xfId="8" applyFont="1" applyBorder="1" applyAlignment="1">
      <alignment horizontal="left"/>
    </xf>
    <xf numFmtId="0" fontId="33" fillId="0" borderId="11" xfId="8" applyFont="1" applyBorder="1" applyAlignment="1">
      <alignment horizontal="left"/>
    </xf>
    <xf numFmtId="0" fontId="33" fillId="0" borderId="12" xfId="8" applyFont="1" applyBorder="1" applyAlignment="1">
      <alignment horizontal="left"/>
    </xf>
    <xf numFmtId="49" fontId="34" fillId="5" borderId="67" xfId="4" applyNumberFormat="1" applyFont="1" applyFill="1" applyBorder="1" applyAlignment="1">
      <alignment horizontal="center" vertical="center"/>
    </xf>
    <xf numFmtId="49" fontId="34" fillId="5" borderId="68" xfId="4" applyNumberFormat="1" applyFont="1" applyFill="1" applyBorder="1" applyAlignment="1">
      <alignment horizontal="center" vertical="center"/>
    </xf>
    <xf numFmtId="0" fontId="0" fillId="2" borderId="69" xfId="0" applyFont="1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0" fillId="2" borderId="70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71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</cellXfs>
  <cellStyles count="37">
    <cellStyle name="Hiperlink" xfId="24" builtinId="8"/>
    <cellStyle name="Hiperlink 2" xfId="8"/>
    <cellStyle name="Moeda" xfId="1" builtinId="4"/>
    <cellStyle name="Moeda 2" xfId="14"/>
    <cellStyle name="Moeda 2 2" xfId="31"/>
    <cellStyle name="Moeda 3" xfId="15"/>
    <cellStyle name="Moeda 3 2" xfId="32"/>
    <cellStyle name="Moeda 4" xfId="22"/>
    <cellStyle name="Moeda 4 2" xfId="35"/>
    <cellStyle name="Moeda 5" xfId="26"/>
    <cellStyle name="Normal" xfId="0" builtinId="0"/>
    <cellStyle name="Normal 2" xfId="4"/>
    <cellStyle name="Normal 3" xfId="6"/>
    <cellStyle name="Normal 3 2" xfId="7"/>
    <cellStyle name="Normal 3 2 2" xfId="18"/>
    <cellStyle name="Normal 3 3" xfId="10"/>
    <cellStyle name="Normal 4" xfId="11"/>
    <cellStyle name="Normal 4 2" xfId="17"/>
    <cellStyle name="Normal 5" xfId="19"/>
    <cellStyle name="Normal 5 2" xfId="25"/>
    <cellStyle name="Porcentagem" xfId="3" builtinId="5"/>
    <cellStyle name="Porcentagem 2" xfId="13"/>
    <cellStyle name="Porcentagem 2 2" xfId="30"/>
    <cellStyle name="Porcentagem 3" xfId="21"/>
    <cellStyle name="Separador de milhares 2" xfId="5"/>
    <cellStyle name="Vírgula" xfId="2" builtinId="3"/>
    <cellStyle name="Vírgula 2" xfId="12"/>
    <cellStyle name="Vírgula 2 2" xfId="29"/>
    <cellStyle name="Vírgula 3" xfId="16"/>
    <cellStyle name="Vírgula 3 2" xfId="9"/>
    <cellStyle name="Vírgula 3 2 2" xfId="28"/>
    <cellStyle name="Vírgula 3 3" xfId="33"/>
    <cellStyle name="Vírgula 4" xfId="20"/>
    <cellStyle name="Vírgula 4 2" xfId="34"/>
    <cellStyle name="Vírgula 5" xfId="23"/>
    <cellStyle name="Vírgula 5 2" xfId="36"/>
    <cellStyle name="Vírgula 6" xfId="27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CRONOGRAMA!$A$16</c:f>
              <c:strCache>
                <c:ptCount val="1"/>
                <c:pt idx="0">
                  <c:v>Cronograma Financeiro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(CRONOGRAMA!$B$5,CRONOGRAMA!$D$5,CRONOGRAMA!$F$5,CRONOGRAMA!$H$5,CRONOGRAMA!$J$5,CRONOGRAMA!$L$5,CRONOGRAMA!$N$5,CRONOGRAMA!$P$5,CRONOGRAMA!$R$5,CRONOGRAMA!$T$5,CRONOGRAMA!$V$5)</c:f>
              <c:strCache>
                <c:ptCount val="11"/>
                <c:pt idx="0">
                  <c:v>Mês 01</c:v>
                </c:pt>
                <c:pt idx="1">
                  <c:v>Mês 02</c:v>
                </c:pt>
                <c:pt idx="2">
                  <c:v>Mês 03</c:v>
                </c:pt>
                <c:pt idx="3">
                  <c:v>Mês 04</c:v>
                </c:pt>
                <c:pt idx="4">
                  <c:v>Mês 05</c:v>
                </c:pt>
                <c:pt idx="5">
                  <c:v>Mês 06</c:v>
                </c:pt>
                <c:pt idx="6">
                  <c:v>Mês 07</c:v>
                </c:pt>
                <c:pt idx="7">
                  <c:v>Mês 08</c:v>
                </c:pt>
                <c:pt idx="8">
                  <c:v>Mês 09</c:v>
                </c:pt>
                <c:pt idx="9">
                  <c:v>Mês 10</c:v>
                </c:pt>
                <c:pt idx="10">
                  <c:v>Mês 11</c:v>
                </c:pt>
              </c:strCache>
            </c:strRef>
          </c:cat>
          <c:val>
            <c:numRef>
              <c:f>(CRONOGRAMA!$B$17,CRONOGRAMA!$D$17,CRONOGRAMA!$F$17,CRONOGRAMA!$H$17,CRONOGRAMA!$J$17,CRONOGRAMA!$L$17,CRONOGRAMA!$N$17,CRONOGRAMA!$P$17,CRONOGRAMA!$R$17,CRONOGRAMA!$T$17)</c:f>
              <c:numCache>
                <c:formatCode>_("R$"* #,##0.00_);_("R$"* \(#,##0.00\);_("R$"*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F61-46C9-87A3-8F6AC3294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8281936"/>
        <c:axId val="1208273776"/>
      </c:lineChart>
      <c:catAx>
        <c:axId val="120828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8273776"/>
        <c:crosses val="autoZero"/>
        <c:auto val="1"/>
        <c:lblAlgn val="ctr"/>
        <c:lblOffset val="100"/>
        <c:noMultiLvlLbl val="0"/>
      </c:catAx>
      <c:valAx>
        <c:axId val="120827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8281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CRONOGRAMA!$A$18</c:f>
              <c:strCache>
                <c:ptCount val="1"/>
                <c:pt idx="0">
                  <c:v>Cronograma Fisico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(CRONOGRAMA!$B$5,CRONOGRAMA!$D$5,CRONOGRAMA!$F$5,CRONOGRAMA!$H$5,CRONOGRAMA!$J$5,CRONOGRAMA!$L$5,CRONOGRAMA!$N$5,CRONOGRAMA!$P$5,CRONOGRAMA!$R$5,CRONOGRAMA!$T$5,CRONOGRAMA!$V$5)</c:f>
              <c:strCache>
                <c:ptCount val="11"/>
                <c:pt idx="0">
                  <c:v>Mês 01</c:v>
                </c:pt>
                <c:pt idx="1">
                  <c:v>Mês 02</c:v>
                </c:pt>
                <c:pt idx="2">
                  <c:v>Mês 03</c:v>
                </c:pt>
                <c:pt idx="3">
                  <c:v>Mês 04</c:v>
                </c:pt>
                <c:pt idx="4">
                  <c:v>Mês 05</c:v>
                </c:pt>
                <c:pt idx="5">
                  <c:v>Mês 06</c:v>
                </c:pt>
                <c:pt idx="6">
                  <c:v>Mês 07</c:v>
                </c:pt>
                <c:pt idx="7">
                  <c:v>Mês 08</c:v>
                </c:pt>
                <c:pt idx="8">
                  <c:v>Mês 09</c:v>
                </c:pt>
                <c:pt idx="9">
                  <c:v>Mês 10</c:v>
                </c:pt>
                <c:pt idx="10">
                  <c:v>Mês 11</c:v>
                </c:pt>
              </c:strCache>
            </c:strRef>
          </c:cat>
          <c:val>
            <c:numRef>
              <c:f>(CRONOGRAMA!$B$19,CRONOGRAMA!$D$19,CRONOGRAMA!$F$19,CRONOGRAMA!$H$19,CRONOGRAMA!$J$19,CRONOGRAMA!$L$19,CRONOGRAMA!$N$19,CRONOGRAMA!$P$19,CRONOGRAMA!$R$19,CRONOGRAMA!$T$19)</c:f>
              <c:numCache>
                <c:formatCode>0.00%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F61-46C9-87A3-8F6AC3294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8279760"/>
        <c:axId val="1208286288"/>
      </c:lineChart>
      <c:catAx>
        <c:axId val="120827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8286288"/>
        <c:crosses val="autoZero"/>
        <c:auto val="1"/>
        <c:lblAlgn val="ctr"/>
        <c:lblOffset val="100"/>
        <c:noMultiLvlLbl val="0"/>
      </c:catAx>
      <c:valAx>
        <c:axId val="120828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827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wmf"/><Relationship Id="rId1" Type="http://schemas.openxmlformats.org/officeDocument/2006/relationships/image" Target="../media/image3.wmf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40821</xdr:colOff>
      <xdr:row>1</xdr:row>
      <xdr:rowOff>40821</xdr:rowOff>
    </xdr:from>
    <xdr:ext cx="938317" cy="860051"/>
    <xdr:pic>
      <xdr:nvPicPr>
        <xdr:cNvPr id="3" name="Imagem 2">
          <a:extLst>
            <a:ext uri="{FF2B5EF4-FFF2-40B4-BE49-F238E27FC236}">
              <a16:creationId xmlns:a16="http://schemas.microsoft.com/office/drawing/2014/main" xmlns="" id="{A04EC46A-5DDA-4B2A-B7DC-1851876B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40821"/>
          <a:ext cx="938317" cy="860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1</xdr:row>
      <xdr:rowOff>57150</xdr:rowOff>
    </xdr:from>
    <xdr:to>
      <xdr:col>1</xdr:col>
      <xdr:colOff>847725</xdr:colOff>
      <xdr:row>5</xdr:row>
      <xdr:rowOff>171450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57150"/>
          <a:ext cx="800101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0</xdr:col>
      <xdr:colOff>953364</xdr:colOff>
      <xdr:row>2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934314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302561</xdr:colOff>
      <xdr:row>0</xdr:row>
      <xdr:rowOff>28575</xdr:rowOff>
    </xdr:from>
    <xdr:to>
      <xdr:col>0</xdr:col>
      <xdr:colOff>1240878</xdr:colOff>
      <xdr:row>2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61" y="28575"/>
          <a:ext cx="938317" cy="860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448236</xdr:colOff>
      <xdr:row>39</xdr:row>
      <xdr:rowOff>34738</xdr:rowOff>
    </xdr:from>
    <xdr:to>
      <xdr:col>24</xdr:col>
      <xdr:colOff>78442</xdr:colOff>
      <xdr:row>58</xdr:row>
      <xdr:rowOff>56029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B7FD3272-FEF8-CD40-D619-6708E8E2E5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437030</xdr:colOff>
      <xdr:row>19</xdr:row>
      <xdr:rowOff>124386</xdr:rowOff>
    </xdr:from>
    <xdr:to>
      <xdr:col>24</xdr:col>
      <xdr:colOff>89649</xdr:colOff>
      <xdr:row>38</xdr:row>
      <xdr:rowOff>56030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27D6C3A-E29D-A6FB-3B4F-A3B73D52B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37584</xdr:colOff>
      <xdr:row>0</xdr:row>
      <xdr:rowOff>35902</xdr:rowOff>
    </xdr:from>
    <xdr:to>
      <xdr:col>0</xdr:col>
      <xdr:colOff>781726</xdr:colOff>
      <xdr:row>2</xdr:row>
      <xdr:rowOff>139212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84" y="35902"/>
          <a:ext cx="744142" cy="67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0</xdr:col>
      <xdr:colOff>0</xdr:colOff>
      <xdr:row>42</xdr:row>
      <xdr:rowOff>19050</xdr:rowOff>
    </xdr:to>
    <xdr:pic>
      <xdr:nvPicPr>
        <xdr:cNvPr id="2" name="Picture 4" descr="epa4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60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38</xdr:row>
      <xdr:rowOff>66675</xdr:rowOff>
    </xdr:from>
    <xdr:to>
      <xdr:col>0</xdr:col>
      <xdr:colOff>0</xdr:colOff>
      <xdr:row>42</xdr:row>
      <xdr:rowOff>95250</xdr:rowOff>
    </xdr:to>
    <xdr:pic>
      <xdr:nvPicPr>
        <xdr:cNvPr id="3" name="Picture 5" descr="epa3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</xdr:row>
      <xdr:rowOff>28575</xdr:rowOff>
    </xdr:from>
    <xdr:to>
      <xdr:col>1</xdr:col>
      <xdr:colOff>342900</xdr:colOff>
      <xdr:row>2</xdr:row>
      <xdr:rowOff>304800</xdr:rowOff>
    </xdr:to>
    <xdr:pic>
      <xdr:nvPicPr>
        <xdr:cNvPr id="4" name="Picture 30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14</xdr:row>
      <xdr:rowOff>28723</xdr:rowOff>
    </xdr:from>
    <xdr:to>
      <xdr:col>10</xdr:col>
      <xdr:colOff>304800</xdr:colOff>
      <xdr:row>36</xdr:row>
      <xdr:rowOff>142874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2248048"/>
          <a:ext cx="4829175" cy="3676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</xdr:colOff>
      <xdr:row>44</xdr:row>
      <xdr:rowOff>46228</xdr:rowOff>
    </xdr:from>
    <xdr:to>
      <xdr:col>10</xdr:col>
      <xdr:colOff>285750</xdr:colOff>
      <xdr:row>66</xdr:row>
      <xdr:rowOff>133349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7094728"/>
          <a:ext cx="4781551" cy="3649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36797</xdr:rowOff>
    </xdr:from>
    <xdr:to>
      <xdr:col>5</xdr:col>
      <xdr:colOff>119985</xdr:colOff>
      <xdr:row>2</xdr:row>
      <xdr:rowOff>323850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797"/>
          <a:ext cx="1043910" cy="953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pic>
      <xdr:nvPicPr>
        <xdr:cNvPr id="2" name="Picture 4" descr="epa4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2298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pic>
      <xdr:nvPicPr>
        <xdr:cNvPr id="3" name="Picture 5" descr="epa3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1346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146540</xdr:colOff>
      <xdr:row>0</xdr:row>
      <xdr:rowOff>31506</xdr:rowOff>
    </xdr:from>
    <xdr:to>
      <xdr:col>5</xdr:col>
      <xdr:colOff>8163</xdr:colOff>
      <xdr:row>2</xdr:row>
      <xdr:rowOff>129293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0" y="31506"/>
          <a:ext cx="833173" cy="755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pic>
      <xdr:nvPicPr>
        <xdr:cNvPr id="2" name="Picture 4" descr="epa4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21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pic>
      <xdr:nvPicPr>
        <xdr:cNvPr id="3" name="Picture 5" descr="epa3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21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198497</xdr:colOff>
      <xdr:row>0</xdr:row>
      <xdr:rowOff>19707</xdr:rowOff>
    </xdr:from>
    <xdr:to>
      <xdr:col>2</xdr:col>
      <xdr:colOff>231594</xdr:colOff>
      <xdr:row>2</xdr:row>
      <xdr:rowOff>146069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97" y="19707"/>
          <a:ext cx="828227" cy="75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pic>
      <xdr:nvPicPr>
        <xdr:cNvPr id="2" name="Picture 4" descr="epa4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389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0</xdr:colOff>
      <xdr:row>47</xdr:row>
      <xdr:rowOff>0</xdr:rowOff>
    </xdr:to>
    <xdr:pic>
      <xdr:nvPicPr>
        <xdr:cNvPr id="3" name="Picture 5" descr="epa3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34365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29307</xdr:colOff>
      <xdr:row>0</xdr:row>
      <xdr:rowOff>36634</xdr:rowOff>
    </xdr:from>
    <xdr:to>
      <xdr:col>2</xdr:col>
      <xdr:colOff>238452</xdr:colOff>
      <xdr:row>2</xdr:row>
      <xdr:rowOff>139211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36634"/>
          <a:ext cx="575491" cy="527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28576</xdr:rowOff>
    </xdr:from>
    <xdr:to>
      <xdr:col>0</xdr:col>
      <xdr:colOff>916112</xdr:colOff>
      <xdr:row>2</xdr:row>
      <xdr:rowOff>122465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6"/>
          <a:ext cx="792287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47625</xdr:rowOff>
    </xdr:from>
    <xdr:to>
      <xdr:col>0</xdr:col>
      <xdr:colOff>1457324</xdr:colOff>
      <xdr:row>2</xdr:row>
      <xdr:rowOff>372176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47625"/>
          <a:ext cx="1095375" cy="1000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133349</xdr:rowOff>
    </xdr:from>
    <xdr:to>
      <xdr:col>0</xdr:col>
      <xdr:colOff>1114425</xdr:colOff>
      <xdr:row>2</xdr:row>
      <xdr:rowOff>456154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349"/>
          <a:ext cx="1047750" cy="96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66676</xdr:colOff>
      <xdr:row>0</xdr:row>
      <xdr:rowOff>114300</xdr:rowOff>
    </xdr:from>
    <xdr:to>
      <xdr:col>4</xdr:col>
      <xdr:colOff>1609725</xdr:colOff>
      <xdr:row>2</xdr:row>
      <xdr:rowOff>195926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1" y="114300"/>
          <a:ext cx="1543049" cy="77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38099</xdr:colOff>
      <xdr:row>0</xdr:row>
      <xdr:rowOff>47624</xdr:rowOff>
    </xdr:from>
    <xdr:to>
      <xdr:col>0</xdr:col>
      <xdr:colOff>1049308</xdr:colOff>
      <xdr:row>2</xdr:row>
      <xdr:rowOff>200024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47624"/>
          <a:ext cx="1011209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66676</xdr:colOff>
      <xdr:row>0</xdr:row>
      <xdr:rowOff>114300</xdr:rowOff>
    </xdr:from>
    <xdr:to>
      <xdr:col>4</xdr:col>
      <xdr:colOff>1609725</xdr:colOff>
      <xdr:row>2</xdr:row>
      <xdr:rowOff>195926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1" y="114300"/>
          <a:ext cx="1543049" cy="77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38099</xdr:colOff>
      <xdr:row>0</xdr:row>
      <xdr:rowOff>47624</xdr:rowOff>
    </xdr:from>
    <xdr:to>
      <xdr:col>0</xdr:col>
      <xdr:colOff>1049308</xdr:colOff>
      <xdr:row>2</xdr:row>
      <xdr:rowOff>200024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47624"/>
          <a:ext cx="1011209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99\e\Users\usuario\Desktop\02%20-%20ALTERA&#199;&#213;ES%20CAIXA_180219\PROJETO%20II%20-%20VILA%20CONCEI&#199;&#195;O\PLANILHA%20PROJETO%20II_0102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UA%20FRANCISCO%20CONSTANTINO%20DE%20OLIVEIRA%20-%20PAVIMENTA&#199;&#195;O\PLANILHA%20OR&#199;AMENTARIA_MR%20466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ÇAMENTARIA"/>
      <sheetName val="Cronograma"/>
      <sheetName val="MEMORIAL DE CAL - PRAÇA SRA"/>
      <sheetName val="MEMORIAL DE CAL - PR TRECHO A"/>
      <sheetName val="MEMORIAL DE CAL - PR TRECHO B"/>
      <sheetName val="BDI"/>
      <sheetName val="PESQUISA"/>
      <sheetName val="COMPOSIÇÕES"/>
    </sheetNames>
    <sheetDataSet>
      <sheetData sheetId="0"/>
      <sheetData sheetId="1"/>
      <sheetData sheetId="2"/>
      <sheetData sheetId="3"/>
      <sheetData sheetId="4"/>
      <sheetData sheetId="5">
        <row r="17">
          <cell r="Q17">
            <v>0.03</v>
          </cell>
          <cell r="R17">
            <v>3.7999999999999999E-2</v>
          </cell>
          <cell r="S17">
            <v>3.4299999999999997E-2</v>
          </cell>
          <cell r="T17">
            <v>5.2900000000000003E-2</v>
          </cell>
          <cell r="U17">
            <v>0.04</v>
          </cell>
          <cell r="V17">
            <v>1.4999999999999999E-2</v>
          </cell>
        </row>
        <row r="18">
          <cell r="Q18">
            <v>8.0000000000000002E-3</v>
          </cell>
          <cell r="R18">
            <v>3.2000000000000002E-3</v>
          </cell>
          <cell r="S18">
            <v>2.8E-3</v>
          </cell>
          <cell r="T18">
            <v>2.5000000000000001E-3</v>
          </cell>
          <cell r="U18">
            <v>8.0999999999999996E-3</v>
          </cell>
          <cell r="V18">
            <v>3.0000000000000001E-3</v>
          </cell>
        </row>
        <row r="19">
          <cell r="Q19">
            <v>9.7000000000000003E-3</v>
          </cell>
          <cell r="R19">
            <v>5.0000000000000001E-3</v>
          </cell>
          <cell r="S19">
            <v>0.01</v>
          </cell>
          <cell r="T19">
            <v>0.01</v>
          </cell>
          <cell r="U19">
            <v>1.46E-2</v>
          </cell>
          <cell r="V19">
            <v>5.5999999999999999E-3</v>
          </cell>
        </row>
        <row r="20">
          <cell r="Q20">
            <v>5.8999999999999999E-3</v>
          </cell>
          <cell r="R20">
            <v>1.0200000000000001E-2</v>
          </cell>
          <cell r="S20">
            <v>9.4000000000000004E-3</v>
          </cell>
          <cell r="T20">
            <v>1.01E-2</v>
          </cell>
          <cell r="U20">
            <v>9.4000000000000004E-3</v>
          </cell>
          <cell r="V20">
            <v>8.5000000000000006E-3</v>
          </cell>
        </row>
        <row r="21">
          <cell r="Q21">
            <v>6.1600000000000002E-2</v>
          </cell>
          <cell r="R21">
            <v>6.6400000000000001E-2</v>
          </cell>
          <cell r="S21">
            <v>6.7400000000000002E-2</v>
          </cell>
          <cell r="T21">
            <v>0.08</v>
          </cell>
          <cell r="U21">
            <v>7.1400000000000005E-2</v>
          </cell>
          <cell r="V21">
            <v>3.5000000000000003E-2</v>
          </cell>
        </row>
        <row r="23">
          <cell r="Q23">
            <v>5.5E-2</v>
          </cell>
          <cell r="R23">
            <v>4.6699999999999998E-2</v>
          </cell>
          <cell r="S23">
            <v>6.7100000000000007E-2</v>
          </cell>
          <cell r="T23">
            <v>7.9299999999999995E-2</v>
          </cell>
          <cell r="U23">
            <v>7.85E-2</v>
          </cell>
          <cell r="V23">
            <v>4.4900000000000002E-2</v>
          </cell>
        </row>
        <row r="24">
          <cell r="Q24">
            <v>0.01</v>
          </cell>
          <cell r="R24">
            <v>7.4000000000000003E-3</v>
          </cell>
          <cell r="S24">
            <v>7.4999999999999997E-3</v>
          </cell>
          <cell r="T24">
            <v>5.5999999999999999E-3</v>
          </cell>
          <cell r="U24">
            <v>1.9900000000000001E-2</v>
          </cell>
          <cell r="V24">
            <v>8.2000000000000007E-3</v>
          </cell>
        </row>
        <row r="25">
          <cell r="Q25">
            <v>1.2699999999999999E-2</v>
          </cell>
          <cell r="R25">
            <v>9.7000000000000003E-3</v>
          </cell>
          <cell r="S25">
            <v>1.7399999999999999E-2</v>
          </cell>
          <cell r="T25">
            <v>1.9699999999999999E-2</v>
          </cell>
          <cell r="U25">
            <v>3.1600000000000003E-2</v>
          </cell>
          <cell r="V25">
            <v>8.8999999999999999E-3</v>
          </cell>
        </row>
        <row r="26">
          <cell r="Q26">
            <v>1.3899999999999999E-2</v>
          </cell>
          <cell r="R26">
            <v>1.21E-2</v>
          </cell>
          <cell r="S26">
            <v>1.17E-2</v>
          </cell>
          <cell r="T26">
            <v>1.11E-2</v>
          </cell>
          <cell r="U26">
            <v>1.3299999999999999E-2</v>
          </cell>
          <cell r="V26">
            <v>1.11E-2</v>
          </cell>
        </row>
        <row r="27">
          <cell r="Q27">
            <v>8.9599999999999999E-2</v>
          </cell>
          <cell r="R27">
            <v>8.6900000000000005E-2</v>
          </cell>
          <cell r="S27">
            <v>9.4E-2</v>
          </cell>
          <cell r="T27">
            <v>9.5100000000000004E-2</v>
          </cell>
          <cell r="U27">
            <v>0.1043</v>
          </cell>
          <cell r="V27">
            <v>6.2199999999999998E-2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MEMORIAL CÁLCULO"/>
      <sheetName val="INDICE DE REAJUSTE "/>
      <sheetName val="AQUISIÇÃO MATERIAL BETUMINOSO"/>
      <sheetName val="Cronograma"/>
      <sheetName val="BDI"/>
      <sheetName val="COMPOSIÇÕES"/>
      <sheetName val="PESQUI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anp.gov.br/precos-e-defesa-da-concorrencia/precos/precos-de-distribui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zoomScale="93" zoomScaleNormal="93" zoomScaleSheetLayoutView="55" zoomScalePageLayoutView="71" workbookViewId="0">
      <selection activeCell="J28" sqref="J28:L28"/>
    </sheetView>
  </sheetViews>
  <sheetFormatPr defaultRowHeight="15"/>
  <cols>
    <col min="1" max="1" width="15.140625" customWidth="1"/>
    <col min="2" max="2" width="86.42578125" customWidth="1"/>
    <col min="3" max="3" width="9.28515625" bestFit="1" customWidth="1"/>
    <col min="4" max="4" width="12.85546875" bestFit="1" customWidth="1"/>
    <col min="5" max="5" width="14" hidden="1" customWidth="1"/>
    <col min="6" max="6" width="10.85546875" style="144" hidden="1" customWidth="1"/>
    <col min="7" max="7" width="16.7109375" customWidth="1"/>
    <col min="8" max="8" width="9.85546875" customWidth="1"/>
    <col min="9" max="9" width="17" customWidth="1"/>
    <col min="10" max="10" width="20" customWidth="1"/>
    <col min="11" max="11" width="16.85546875" style="1" customWidth="1"/>
    <col min="12" max="12" width="12.42578125" style="1" customWidth="1"/>
    <col min="13" max="13" width="14.42578125" style="70" bestFit="1" customWidth="1"/>
    <col min="14" max="14" width="8.7109375" bestFit="1" customWidth="1"/>
    <col min="15" max="15" width="12.28515625" bestFit="1" customWidth="1"/>
    <col min="16" max="16" width="12.7109375" bestFit="1" customWidth="1"/>
    <col min="17" max="17" width="16.42578125" bestFit="1" customWidth="1"/>
  </cols>
  <sheetData>
    <row r="1" spans="1:17" s="173" customFormat="1" ht="33.75">
      <c r="A1" s="608"/>
      <c r="B1" s="608"/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9"/>
      <c r="N1" s="541"/>
      <c r="O1" s="541"/>
      <c r="P1" s="541"/>
      <c r="Q1" s="175"/>
    </row>
    <row r="2" spans="1:17" s="173" customFormat="1" ht="39.75" customHeight="1">
      <c r="A2" s="612"/>
      <c r="B2" s="621" t="s">
        <v>408</v>
      </c>
      <c r="C2" s="622"/>
      <c r="D2" s="622"/>
      <c r="E2" s="622"/>
      <c r="F2" s="622"/>
      <c r="G2" s="622"/>
      <c r="H2" s="622"/>
      <c r="I2" s="622"/>
      <c r="J2" s="622"/>
      <c r="K2" s="622"/>
      <c r="L2" s="623"/>
      <c r="M2" s="64"/>
    </row>
    <row r="3" spans="1:17" s="261" customFormat="1" ht="15.75">
      <c r="A3" s="612"/>
      <c r="B3" s="486" t="str">
        <f>PAVIM.!$G$2</f>
        <v>PREFEITURA MUNICIPAL DE MARACAJÁ</v>
      </c>
      <c r="C3" s="614" t="s">
        <v>429</v>
      </c>
      <c r="D3" s="620"/>
      <c r="E3" s="620"/>
      <c r="F3" s="620"/>
      <c r="G3" s="620"/>
      <c r="H3" s="615"/>
      <c r="I3" s="618" t="str">
        <f>PAVIM.!$K$2</f>
        <v>MUNICIPIO: MARACAJÁ</v>
      </c>
      <c r="J3" s="619"/>
      <c r="K3" s="614" t="str">
        <f>PAVIM.!$M$2</f>
        <v>ESTADO: SANTA CATARINA</v>
      </c>
      <c r="L3" s="615"/>
      <c r="M3" s="306"/>
    </row>
    <row r="4" spans="1:17" s="261" customFormat="1" ht="15.75">
      <c r="A4" s="612"/>
      <c r="B4" s="613" t="s">
        <v>430</v>
      </c>
      <c r="C4" s="613"/>
      <c r="D4" s="613"/>
      <c r="E4" s="613"/>
      <c r="F4" s="613"/>
      <c r="G4" s="613"/>
      <c r="H4" s="613"/>
      <c r="I4" s="613"/>
      <c r="J4" s="494" t="str">
        <f ca="1">PAVIM.!$M$3</f>
        <v>DATA: 12/08/26</v>
      </c>
      <c r="K4" s="616" t="str">
        <f ca="1">PAVIM.!$M$3</f>
        <v>DATA: 12/08/26</v>
      </c>
      <c r="L4" s="617"/>
      <c r="M4" s="306"/>
    </row>
    <row r="5" spans="1:17" s="173" customFormat="1">
      <c r="A5" s="161"/>
      <c r="B5" s="155"/>
      <c r="C5" s="155"/>
      <c r="D5" s="610"/>
      <c r="E5" s="610"/>
      <c r="F5" s="610"/>
      <c r="G5" s="610"/>
      <c r="H5" s="155"/>
      <c r="I5" s="155"/>
      <c r="J5" s="157"/>
      <c r="K5" s="158"/>
      <c r="L5" s="162"/>
      <c r="M5" s="176"/>
    </row>
    <row r="6" spans="1:17" s="173" customFormat="1">
      <c r="A6" s="603" t="s">
        <v>394</v>
      </c>
      <c r="B6" s="602" t="s">
        <v>1</v>
      </c>
      <c r="C6" s="602" t="s">
        <v>2</v>
      </c>
      <c r="D6" s="602" t="s">
        <v>3</v>
      </c>
      <c r="E6" s="611" t="s">
        <v>174</v>
      </c>
      <c r="F6" s="611" t="s">
        <v>175</v>
      </c>
      <c r="G6" s="602" t="s">
        <v>4</v>
      </c>
      <c r="H6" s="602"/>
      <c r="I6" s="602"/>
      <c r="J6" s="602"/>
      <c r="K6" s="602" t="s">
        <v>8</v>
      </c>
      <c r="L6" s="603" t="s">
        <v>9</v>
      </c>
      <c r="M6" s="66"/>
    </row>
    <row r="7" spans="1:17" s="173" customFormat="1">
      <c r="A7" s="603"/>
      <c r="B7" s="602"/>
      <c r="C7" s="602"/>
      <c r="D7" s="602"/>
      <c r="E7" s="611"/>
      <c r="F7" s="611"/>
      <c r="G7" s="485" t="s">
        <v>5</v>
      </c>
      <c r="H7" s="485" t="s">
        <v>6</v>
      </c>
      <c r="I7" s="485" t="s">
        <v>10</v>
      </c>
      <c r="J7" s="485" t="s">
        <v>262</v>
      </c>
      <c r="K7" s="602"/>
      <c r="L7" s="603"/>
      <c r="M7" s="66"/>
    </row>
    <row r="8" spans="1:17" s="5" customFormat="1">
      <c r="A8" s="308"/>
      <c r="B8" s="557"/>
      <c r="C8" s="309"/>
      <c r="D8" s="309"/>
      <c r="E8" s="309"/>
      <c r="F8" s="310"/>
      <c r="G8" s="309"/>
      <c r="H8" s="309"/>
      <c r="I8" s="309"/>
      <c r="J8" s="309"/>
      <c r="K8" s="310"/>
      <c r="L8" s="311"/>
      <c r="M8" s="67"/>
    </row>
    <row r="9" spans="1:17" s="5" customFormat="1" ht="24.95" customHeight="1">
      <c r="A9" s="487">
        <v>1</v>
      </c>
      <c r="B9" s="604" t="s">
        <v>135</v>
      </c>
      <c r="C9" s="604"/>
      <c r="D9" s="604"/>
      <c r="E9" s="604"/>
      <c r="F9" s="604"/>
      <c r="G9" s="604"/>
      <c r="H9" s="604"/>
      <c r="I9" s="604"/>
      <c r="J9" s="568">
        <f>SUM(J10:J13)</f>
        <v>65125.16</v>
      </c>
      <c r="K9" s="605"/>
      <c r="L9" s="605"/>
      <c r="M9" s="66"/>
    </row>
    <row r="10" spans="1:17" s="5" customFormat="1" ht="44.25" customHeight="1">
      <c r="A10" s="146" t="s">
        <v>401</v>
      </c>
      <c r="B10" s="578" t="s">
        <v>442</v>
      </c>
      <c r="C10" s="146" t="s">
        <v>14</v>
      </c>
      <c r="D10" s="563">
        <v>580</v>
      </c>
      <c r="E10" s="578"/>
      <c r="F10" s="578"/>
      <c r="G10" s="579">
        <v>1.64</v>
      </c>
      <c r="H10" s="565">
        <f>BDI!$F$30</f>
        <v>0.20730000000000001</v>
      </c>
      <c r="I10" s="566">
        <f>TRUNC(G10*(1+H10),2)</f>
        <v>1.97</v>
      </c>
      <c r="J10" s="566">
        <f>TRUNC(D10*I10,2)</f>
        <v>1142.5999999999999</v>
      </c>
      <c r="K10" s="146" t="s">
        <v>412</v>
      </c>
      <c r="L10" s="146">
        <v>100577</v>
      </c>
      <c r="M10" s="66"/>
    </row>
    <row r="11" spans="1:17" s="173" customFormat="1" ht="59.25" customHeight="1">
      <c r="A11" s="146" t="s">
        <v>252</v>
      </c>
      <c r="B11" s="578" t="s">
        <v>448</v>
      </c>
      <c r="C11" s="146" t="s">
        <v>11</v>
      </c>
      <c r="D11" s="563">
        <v>58</v>
      </c>
      <c r="E11" s="564"/>
      <c r="F11" s="562"/>
      <c r="G11" s="570">
        <v>12.85</v>
      </c>
      <c r="H11" s="565">
        <f>BDI!$F$30</f>
        <v>0.20730000000000001</v>
      </c>
      <c r="I11" s="566">
        <f>TRUNC(G11*(1+H11),2)</f>
        <v>15.51</v>
      </c>
      <c r="J11" s="566">
        <f>TRUNC(D11*I11,2)</f>
        <v>899.58</v>
      </c>
      <c r="K11" s="146" t="s">
        <v>412</v>
      </c>
      <c r="L11" s="569">
        <v>101266</v>
      </c>
      <c r="M11" s="68"/>
    </row>
    <row r="12" spans="1:17" s="173" customFormat="1" ht="60.75" customHeight="1">
      <c r="A12" s="146" t="s">
        <v>411</v>
      </c>
      <c r="B12" s="578" t="s">
        <v>446</v>
      </c>
      <c r="C12" s="146" t="s">
        <v>12</v>
      </c>
      <c r="D12" s="563">
        <v>49</v>
      </c>
      <c r="E12" s="564"/>
      <c r="F12" s="562"/>
      <c r="G12" s="570">
        <v>49.55</v>
      </c>
      <c r="H12" s="565">
        <f>BDI!$F$30</f>
        <v>0.20730000000000001</v>
      </c>
      <c r="I12" s="566">
        <f>TRUNC(G12*(1+H12),2)</f>
        <v>59.82</v>
      </c>
      <c r="J12" s="566">
        <f>TRUNC(D12*I12,2)</f>
        <v>2931.18</v>
      </c>
      <c r="K12" s="146" t="s">
        <v>412</v>
      </c>
      <c r="L12" s="569">
        <v>94273</v>
      </c>
      <c r="M12" s="68"/>
    </row>
    <row r="13" spans="1:17" s="173" customFormat="1" ht="45.75" customHeight="1">
      <c r="A13" s="146" t="s">
        <v>433</v>
      </c>
      <c r="B13" s="578" t="s">
        <v>445</v>
      </c>
      <c r="C13" s="146" t="s">
        <v>14</v>
      </c>
      <c r="D13" s="563">
        <v>580</v>
      </c>
      <c r="E13" s="564"/>
      <c r="F13" s="562"/>
      <c r="G13" s="570">
        <v>85.91</v>
      </c>
      <c r="H13" s="565">
        <f>BDI!$F$30</f>
        <v>0.20730000000000001</v>
      </c>
      <c r="I13" s="566">
        <f>TRUNC(G13*(1+H13),2)</f>
        <v>103.71</v>
      </c>
      <c r="J13" s="566">
        <f>TRUNC(D13*I13,2)</f>
        <v>60151.8</v>
      </c>
      <c r="K13" s="146" t="s">
        <v>412</v>
      </c>
      <c r="L13" s="569">
        <v>92404</v>
      </c>
      <c r="M13" s="68"/>
    </row>
    <row r="14" spans="1:17" s="173" customFormat="1" ht="24.95" customHeight="1">
      <c r="A14" s="606"/>
      <c r="B14" s="607"/>
      <c r="C14" s="607"/>
      <c r="D14" s="607"/>
      <c r="E14" s="607"/>
      <c r="F14" s="607"/>
      <c r="G14" s="607"/>
      <c r="H14" s="607"/>
      <c r="I14" s="607"/>
      <c r="J14" s="488"/>
      <c r="K14" s="489"/>
      <c r="L14" s="491"/>
      <c r="M14" s="176"/>
      <c r="N14" s="174"/>
      <c r="O14" s="174"/>
      <c r="P14" s="174"/>
    </row>
    <row r="15" spans="1:17" ht="24.95" customHeight="1">
      <c r="A15" s="161"/>
      <c r="B15" s="572" t="s">
        <v>431</v>
      </c>
      <c r="C15" s="155"/>
      <c r="D15" s="155"/>
      <c r="E15" s="155"/>
      <c r="F15" s="156"/>
      <c r="G15" s="155"/>
      <c r="H15" s="155"/>
      <c r="I15" s="155"/>
      <c r="J15" s="155"/>
      <c r="K15" s="156"/>
      <c r="L15" s="162"/>
      <c r="M15" s="65"/>
    </row>
    <row r="16" spans="1:17" ht="24.95" customHeight="1">
      <c r="A16" s="161"/>
      <c r="B16" s="572" t="s">
        <v>371</v>
      </c>
      <c r="C16" s="155"/>
      <c r="D16" s="155"/>
      <c r="E16" s="155"/>
      <c r="F16" s="156"/>
      <c r="G16" s="155"/>
      <c r="H16" s="155"/>
      <c r="I16" s="561" t="s">
        <v>15</v>
      </c>
      <c r="J16" s="567">
        <f>J9</f>
        <v>65125.16</v>
      </c>
      <c r="K16" s="560"/>
      <c r="L16" s="162"/>
      <c r="M16" s="65"/>
    </row>
    <row r="17" spans="1:13" ht="24.95" customHeight="1">
      <c r="A17" s="161"/>
      <c r="B17" s="571" t="s">
        <v>447</v>
      </c>
      <c r="C17" s="155"/>
      <c r="D17" s="155"/>
      <c r="E17" s="155"/>
      <c r="F17" s="156"/>
      <c r="G17" s="155"/>
      <c r="H17" s="155"/>
      <c r="I17" s="7"/>
      <c r="J17" s="7"/>
      <c r="K17" s="490"/>
      <c r="L17" s="492"/>
      <c r="M17" s="65"/>
    </row>
    <row r="18" spans="1:13" ht="24.95" customHeight="1">
      <c r="A18" s="9"/>
      <c r="B18" s="10"/>
      <c r="C18" s="10"/>
      <c r="D18" s="10"/>
      <c r="E18" s="10"/>
      <c r="F18" s="12"/>
      <c r="G18" s="10"/>
      <c r="H18" s="10"/>
      <c r="I18" s="10"/>
      <c r="J18" s="10"/>
      <c r="K18" s="12"/>
      <c r="L18" s="142"/>
    </row>
    <row r="19" spans="1:13">
      <c r="J19" s="71"/>
    </row>
    <row r="20" spans="1:13" s="173" customFormat="1">
      <c r="F20" s="541"/>
      <c r="J20" s="71"/>
      <c r="K20" s="541"/>
      <c r="L20" s="541"/>
      <c r="M20" s="70"/>
    </row>
    <row r="21" spans="1:13" s="173" customFormat="1">
      <c r="F21" s="541"/>
      <c r="J21" s="71"/>
      <c r="K21" s="541"/>
      <c r="L21" s="541"/>
      <c r="M21" s="70"/>
    </row>
    <row r="22" spans="1:13" s="173" customFormat="1">
      <c r="F22" s="541"/>
      <c r="J22" s="71"/>
      <c r="K22" s="541"/>
      <c r="L22" s="541"/>
      <c r="M22" s="70"/>
    </row>
    <row r="23" spans="1:13">
      <c r="I23" s="71"/>
      <c r="J23" s="80"/>
      <c r="K23" s="22"/>
      <c r="L23" s="23"/>
      <c r="M23" s="69"/>
    </row>
    <row r="24" spans="1:13" s="173" customFormat="1">
      <c r="F24" s="541"/>
      <c r="I24" s="71"/>
      <c r="J24" s="80"/>
      <c r="K24" s="22"/>
      <c r="L24" s="23"/>
      <c r="M24" s="69"/>
    </row>
    <row r="25" spans="1:13" s="173" customFormat="1">
      <c r="F25" s="541"/>
      <c r="I25" s="71"/>
      <c r="J25" s="80"/>
      <c r="K25" s="22"/>
      <c r="L25" s="23"/>
      <c r="M25" s="69"/>
    </row>
    <row r="26" spans="1:13">
      <c r="J26" s="80"/>
      <c r="K26" s="22"/>
    </row>
    <row r="27" spans="1:13" ht="15.75">
      <c r="J27" s="573" t="s">
        <v>432</v>
      </c>
      <c r="K27" s="574"/>
      <c r="L27" s="575"/>
    </row>
    <row r="28" spans="1:13" ht="15.75">
      <c r="J28" s="601" t="s">
        <v>443</v>
      </c>
      <c r="K28" s="601"/>
      <c r="L28" s="601"/>
      <c r="M28" s="600"/>
    </row>
    <row r="29" spans="1:13" ht="15.75">
      <c r="J29" s="601" t="s">
        <v>444</v>
      </c>
      <c r="K29" s="601"/>
      <c r="L29" s="601"/>
      <c r="M29" s="600"/>
    </row>
    <row r="30" spans="1:13" ht="15.75">
      <c r="J30" s="601"/>
      <c r="K30" s="601"/>
      <c r="L30" s="601"/>
    </row>
    <row r="31" spans="1:13">
      <c r="J31" s="80"/>
      <c r="K31" s="22"/>
    </row>
    <row r="32" spans="1:13">
      <c r="J32" s="80"/>
      <c r="K32" s="22"/>
    </row>
    <row r="33" spans="10:11">
      <c r="J33" s="80"/>
      <c r="K33" s="22"/>
    </row>
    <row r="34" spans="10:11">
      <c r="J34" s="80"/>
      <c r="K34" s="22"/>
    </row>
  </sheetData>
  <mergeCells count="24">
    <mergeCell ref="A1:M1"/>
    <mergeCell ref="D5:G5"/>
    <mergeCell ref="A6:A7"/>
    <mergeCell ref="B6:B7"/>
    <mergeCell ref="C6:C7"/>
    <mergeCell ref="D6:D7"/>
    <mergeCell ref="E6:E7"/>
    <mergeCell ref="F6:F7"/>
    <mergeCell ref="G6:J6"/>
    <mergeCell ref="A2:A4"/>
    <mergeCell ref="B4:I4"/>
    <mergeCell ref="K3:L3"/>
    <mergeCell ref="K4:L4"/>
    <mergeCell ref="I3:J3"/>
    <mergeCell ref="C3:H3"/>
    <mergeCell ref="B2:L2"/>
    <mergeCell ref="J30:L30"/>
    <mergeCell ref="K6:K7"/>
    <mergeCell ref="L6:L7"/>
    <mergeCell ref="B9:I9"/>
    <mergeCell ref="K9:L9"/>
    <mergeCell ref="A14:I14"/>
    <mergeCell ref="J28:L28"/>
    <mergeCell ref="J29:L29"/>
  </mergeCells>
  <phoneticPr fontId="12" type="noConversion"/>
  <printOptions horizontalCentered="1"/>
  <pageMargins left="0.39370078740157483" right="0.39370078740157483" top="0.39370078740157483" bottom="0.39370078740157483" header="0.31496062992125984" footer="0.19685039370078741"/>
  <pageSetup paperSize="9" scale="6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C11" sqref="C11"/>
    </sheetView>
  </sheetViews>
  <sheetFormatPr defaultRowHeight="15"/>
  <cols>
    <col min="1" max="1" width="6" style="583" customWidth="1"/>
    <col min="2" max="2" width="13.28515625" customWidth="1"/>
    <col min="3" max="3" width="81.28515625" customWidth="1"/>
    <col min="4" max="4" width="9.28515625" bestFit="1" customWidth="1"/>
    <col min="5" max="5" width="18" customWidth="1"/>
    <col min="6" max="6" width="9.28515625" bestFit="1" customWidth="1"/>
    <col min="7" max="7" width="18.7109375" customWidth="1"/>
    <col min="8" max="8" width="14.42578125" bestFit="1" customWidth="1"/>
  </cols>
  <sheetData>
    <row r="1" spans="1:10" s="583" customFormat="1">
      <c r="A1" s="628"/>
      <c r="B1" s="627"/>
      <c r="C1" s="627"/>
      <c r="D1" s="627"/>
      <c r="E1" s="627"/>
      <c r="F1" s="627"/>
      <c r="G1" s="627"/>
      <c r="H1" s="627"/>
    </row>
    <row r="2" spans="1:10" ht="15" customHeight="1">
      <c r="A2" s="628"/>
      <c r="B2" s="629"/>
      <c r="C2" s="624" t="s">
        <v>268</v>
      </c>
      <c r="D2" s="625"/>
      <c r="E2" s="625"/>
      <c r="F2" s="625"/>
      <c r="G2" s="625"/>
      <c r="H2" s="626"/>
      <c r="I2" s="585"/>
      <c r="J2" s="585"/>
    </row>
    <row r="3" spans="1:10" ht="15" customHeight="1">
      <c r="A3" s="628"/>
      <c r="B3" s="629"/>
      <c r="C3" s="624" t="s">
        <v>13</v>
      </c>
      <c r="D3" s="625"/>
      <c r="E3" s="626"/>
      <c r="F3" s="629" t="s">
        <v>429</v>
      </c>
      <c r="G3" s="629"/>
      <c r="H3" s="629"/>
      <c r="I3" s="585"/>
      <c r="J3" s="585"/>
    </row>
    <row r="4" spans="1:10" ht="15" customHeight="1">
      <c r="A4" s="628"/>
      <c r="B4" s="629"/>
      <c r="C4" s="635"/>
      <c r="D4" s="636"/>
      <c r="E4" s="636"/>
      <c r="F4" s="636"/>
      <c r="G4" s="636"/>
      <c r="H4" s="637"/>
      <c r="I4" s="585"/>
      <c r="J4" s="585"/>
    </row>
    <row r="5" spans="1:10" ht="15" customHeight="1">
      <c r="A5" s="628"/>
      <c r="B5" s="629"/>
      <c r="C5" s="624" t="s">
        <v>438</v>
      </c>
      <c r="D5" s="625"/>
      <c r="E5" s="626"/>
      <c r="F5" s="624" t="s">
        <v>211</v>
      </c>
      <c r="G5" s="625"/>
      <c r="H5" s="626"/>
      <c r="I5" s="585"/>
      <c r="J5" s="585"/>
    </row>
    <row r="6" spans="1:10" ht="15" customHeight="1">
      <c r="A6" s="628"/>
      <c r="B6" s="369"/>
      <c r="C6" s="638"/>
      <c r="D6" s="638"/>
      <c r="E6" s="638"/>
      <c r="F6" s="638"/>
      <c r="G6" s="638"/>
      <c r="H6" s="639"/>
      <c r="I6" s="585"/>
      <c r="J6" s="585"/>
    </row>
    <row r="7" spans="1:10" ht="15" customHeight="1">
      <c r="A7" s="628"/>
      <c r="B7" s="630" t="s">
        <v>449</v>
      </c>
      <c r="C7" s="630" t="s">
        <v>1</v>
      </c>
      <c r="D7" s="632" t="s">
        <v>19</v>
      </c>
      <c r="E7" s="632"/>
      <c r="F7" s="633" t="s">
        <v>23</v>
      </c>
      <c r="G7" s="634"/>
      <c r="H7" s="576" t="s">
        <v>441</v>
      </c>
      <c r="I7" s="585"/>
      <c r="J7" s="585"/>
    </row>
    <row r="8" spans="1:10" ht="15" customHeight="1">
      <c r="A8" s="628"/>
      <c r="B8" s="631"/>
      <c r="C8" s="631"/>
      <c r="D8" s="577" t="s">
        <v>439</v>
      </c>
      <c r="E8" s="577" t="s">
        <v>440</v>
      </c>
      <c r="F8" s="577" t="s">
        <v>439</v>
      </c>
      <c r="G8" s="577" t="s">
        <v>440</v>
      </c>
      <c r="H8" s="577" t="s">
        <v>440</v>
      </c>
      <c r="I8" s="585"/>
      <c r="J8" s="585"/>
    </row>
    <row r="9" spans="1:10" ht="54" customHeight="1">
      <c r="A9" s="628"/>
      <c r="B9" s="577" t="str">
        <f>ORÇAMENTO!A10</f>
        <v>1.1</v>
      </c>
      <c r="C9" s="592" t="str">
        <f>ORÇAMENTO!B10</f>
        <v>REGULARIZAÇÃO E COMPACTAÇÃO DE SUBLEITO DE SOLO PREDOMINANTEMENTE ARENOSO, PARA OBRAS DE CONSTRUÇÃO DE PAVIMENTOS.</v>
      </c>
      <c r="D9" s="593">
        <v>1</v>
      </c>
      <c r="E9" s="594">
        <f>ORÇAMENTO!J10</f>
        <v>1142.5999999999999</v>
      </c>
      <c r="F9" s="593"/>
      <c r="G9" s="594"/>
      <c r="H9" s="594">
        <f>E9+G9</f>
        <v>1142.5999999999999</v>
      </c>
      <c r="I9" s="585"/>
      <c r="J9" s="585"/>
    </row>
    <row r="10" spans="1:10" ht="71.25" customHeight="1">
      <c r="A10" s="628"/>
      <c r="B10" s="577" t="str">
        <f>ORÇAMENTO!A11</f>
        <v>1.2</v>
      </c>
      <c r="C10" s="592" t="str">
        <f>ORÇAMENTO!B11</f>
        <v>ESCAVAÇÃO VERTICAL PARA INFRAESTRUTURA, COM CARGA, DESCARGA E TRANSPORTE DE SOLO DE 1ª CATEGORIA, COM ESCAVADEIRA HIDRÁULICA (CAÇAMBA: 0,8 M³ / 111HP), FROTA DE 3 CAMINHÕES BASCULANTES DE 10 M³, DMT ATÉ 1 KM E VELOCIDADE MÉDIA14 KM/H.</v>
      </c>
      <c r="D10" s="593">
        <v>1</v>
      </c>
      <c r="E10" s="594">
        <f>ORÇAMENTO!J11</f>
        <v>899.58</v>
      </c>
      <c r="F10" s="593"/>
      <c r="G10" s="594"/>
      <c r="H10" s="594">
        <f t="shared" ref="H10:H12" si="0">E10+G10</f>
        <v>899.58</v>
      </c>
      <c r="I10" s="585"/>
      <c r="J10" s="585"/>
    </row>
    <row r="11" spans="1:10" ht="63" customHeight="1">
      <c r="A11" s="628"/>
      <c r="B11" s="577" t="str">
        <f>ORÇAMENTO!A12</f>
        <v>1.3</v>
      </c>
      <c r="C11" s="592" t="str">
        <f>ORÇAMENTO!B12</f>
        <v>ASSENTAMENTO DE GUIA (MEIO-FIO) EM TRECHO RETO, CONFECCIONADA EM CONCRETO PRÉ-FABRICADO, DIMENSÕES 100X15X13X30 CM (COMPRIMENTO X BASE INFERIOR X BASE SUPERIOR X ALTURA), INCLUSO MATERIAL E MÃO DE OBRA.</v>
      </c>
      <c r="D11" s="593">
        <v>1</v>
      </c>
      <c r="E11" s="594">
        <f>ORÇAMENTO!J12</f>
        <v>2931.18</v>
      </c>
      <c r="F11" s="593"/>
      <c r="G11" s="594"/>
      <c r="H11" s="594">
        <f t="shared" si="0"/>
        <v>2931.18</v>
      </c>
      <c r="I11" s="585"/>
      <c r="J11" s="585"/>
    </row>
    <row r="12" spans="1:10" ht="45.75" customHeight="1">
      <c r="A12" s="628"/>
      <c r="B12" s="577" t="str">
        <f>ORÇAMENTO!A13</f>
        <v>1.4</v>
      </c>
      <c r="C12" s="592" t="str">
        <f>ORÇAMENTO!B13</f>
        <v>EXECUÇÃO DE PAVIMENTO EM PISO INTERTRAVADO, COM BLOCO 16 FACES DE 22 X 11 CM, ESPESSURA 8 CM, INCLUSO MATERIAL E MÃO DE OBRA.</v>
      </c>
      <c r="D12" s="593"/>
      <c r="E12" s="594"/>
      <c r="F12" s="593">
        <v>1</v>
      </c>
      <c r="G12" s="594">
        <f>ORÇAMENTO!J13</f>
        <v>60151.8</v>
      </c>
      <c r="H12" s="594">
        <f t="shared" si="0"/>
        <v>60151.8</v>
      </c>
      <c r="I12" s="585"/>
      <c r="J12" s="585"/>
    </row>
    <row r="13" spans="1:10" ht="25.5" customHeight="1">
      <c r="A13" s="628"/>
      <c r="B13" s="577" t="s">
        <v>34</v>
      </c>
      <c r="C13" s="577"/>
      <c r="D13" s="595"/>
      <c r="E13" s="596">
        <f>SUM(E9:E12)</f>
        <v>4973.3599999999997</v>
      </c>
      <c r="F13" s="595"/>
      <c r="G13" s="596">
        <f>SUM(G9:G12)</f>
        <v>60151.8</v>
      </c>
      <c r="H13" s="597">
        <f>SUM(H9:H12)</f>
        <v>65125.16</v>
      </c>
      <c r="I13" s="585"/>
      <c r="J13" s="585"/>
    </row>
    <row r="14" spans="1:10" ht="15" customHeight="1">
      <c r="B14" s="589"/>
      <c r="C14" s="377"/>
      <c r="D14" s="377"/>
      <c r="E14" s="377"/>
      <c r="F14" s="377"/>
      <c r="G14" s="377"/>
      <c r="H14" s="599"/>
      <c r="I14" s="585"/>
      <c r="J14" s="585"/>
    </row>
    <row r="15" spans="1:10" ht="15" customHeight="1">
      <c r="B15" s="589"/>
      <c r="C15" s="589"/>
      <c r="D15" s="589"/>
      <c r="E15" s="589"/>
      <c r="F15" s="589"/>
      <c r="G15" s="589"/>
      <c r="H15" s="589"/>
      <c r="I15" s="585"/>
      <c r="J15" s="585"/>
    </row>
    <row r="16" spans="1:10" ht="15" customHeight="1">
      <c r="B16" s="589"/>
      <c r="C16" s="589"/>
      <c r="D16" s="589"/>
      <c r="E16" s="589"/>
      <c r="F16" s="589"/>
      <c r="G16" s="598"/>
      <c r="H16" s="589"/>
      <c r="I16" s="585"/>
      <c r="J16" s="585"/>
    </row>
    <row r="17" spans="2:10">
      <c r="B17" s="589"/>
      <c r="C17" s="589"/>
      <c r="D17" s="589"/>
      <c r="E17" s="589"/>
      <c r="F17" s="589"/>
      <c r="G17" s="589"/>
      <c r="H17" s="589"/>
      <c r="I17" s="585"/>
      <c r="J17" s="585"/>
    </row>
    <row r="18" spans="2:10" ht="15.75">
      <c r="B18" s="590"/>
      <c r="C18" s="590"/>
      <c r="D18" s="588"/>
      <c r="E18" s="80"/>
      <c r="F18" s="586"/>
      <c r="G18" s="23"/>
      <c r="H18" s="69"/>
      <c r="I18" s="591"/>
      <c r="J18" s="591"/>
    </row>
    <row r="19" spans="2:10" ht="15.75">
      <c r="B19" s="590"/>
      <c r="C19" s="590"/>
      <c r="D19" s="583"/>
      <c r="E19" s="80"/>
      <c r="F19" s="586"/>
      <c r="G19" s="584"/>
      <c r="H19" s="587"/>
      <c r="I19" s="591"/>
      <c r="J19" s="591"/>
    </row>
    <row r="20" spans="2:10" ht="15.75">
      <c r="B20" s="590"/>
      <c r="C20" s="590"/>
      <c r="D20" s="583"/>
      <c r="E20" s="640" t="s">
        <v>432</v>
      </c>
      <c r="F20" s="640"/>
      <c r="G20" s="640"/>
      <c r="H20" s="640"/>
      <c r="I20" s="591"/>
      <c r="J20" s="591"/>
    </row>
    <row r="21" spans="2:10" ht="15.75">
      <c r="B21" s="590"/>
      <c r="C21" s="590"/>
      <c r="D21" s="583"/>
      <c r="E21" s="601" t="s">
        <v>443</v>
      </c>
      <c r="F21" s="601"/>
      <c r="G21" s="601"/>
      <c r="H21" s="601"/>
      <c r="I21" s="591"/>
      <c r="J21" s="591"/>
    </row>
    <row r="22" spans="2:10" ht="15.75">
      <c r="B22" s="590"/>
      <c r="C22" s="590"/>
      <c r="D22" s="583"/>
      <c r="E22" s="601" t="s">
        <v>444</v>
      </c>
      <c r="F22" s="601"/>
      <c r="G22" s="601"/>
      <c r="H22" s="601"/>
      <c r="I22" s="591"/>
      <c r="J22" s="591"/>
    </row>
    <row r="23" spans="2:10" ht="15.75">
      <c r="B23" s="591"/>
      <c r="C23" s="591"/>
      <c r="D23" s="583"/>
      <c r="E23" s="601"/>
      <c r="F23" s="601"/>
      <c r="G23" s="601"/>
      <c r="H23" s="601"/>
      <c r="I23" s="591"/>
      <c r="J23" s="591"/>
    </row>
    <row r="24" spans="2:10" ht="15.75">
      <c r="B24" s="591"/>
      <c r="C24" s="591"/>
      <c r="D24" s="583"/>
      <c r="E24" s="80"/>
      <c r="F24" s="586"/>
      <c r="G24" s="584"/>
      <c r="H24" s="587"/>
      <c r="I24" s="591"/>
      <c r="J24" s="591"/>
    </row>
    <row r="25" spans="2:10" ht="15.75">
      <c r="B25" s="591"/>
      <c r="C25" s="591"/>
      <c r="D25" s="583"/>
      <c r="E25" s="80"/>
      <c r="F25" s="586"/>
      <c r="G25" s="584"/>
      <c r="H25" s="587"/>
      <c r="I25" s="591"/>
      <c r="J25" s="591"/>
    </row>
  </sheetData>
  <mergeCells count="18">
    <mergeCell ref="E21:H21"/>
    <mergeCell ref="E20:H20"/>
    <mergeCell ref="E22:H22"/>
    <mergeCell ref="E23:H23"/>
    <mergeCell ref="C7:C8"/>
    <mergeCell ref="C2:H2"/>
    <mergeCell ref="B1:H1"/>
    <mergeCell ref="A1:A13"/>
    <mergeCell ref="F3:H3"/>
    <mergeCell ref="F5:H5"/>
    <mergeCell ref="C3:E3"/>
    <mergeCell ref="C5:E5"/>
    <mergeCell ref="B2:B5"/>
    <mergeCell ref="B7:B8"/>
    <mergeCell ref="D7:E7"/>
    <mergeCell ref="F7:G7"/>
    <mergeCell ref="C4:H4"/>
    <mergeCell ref="C6:H6"/>
  </mergeCells>
  <pageMargins left="0.511811024" right="0.511811024" top="0.78740157499999996" bottom="0.78740157499999996" header="0.31496062000000002" footer="0.31496062000000002"/>
  <pageSetup paperSize="9" scale="7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showGridLines="0" view="pageBreakPreview" zoomScale="85" zoomScaleNormal="85" zoomScaleSheetLayoutView="85" workbookViewId="0">
      <selection activeCell="C19" sqref="C19"/>
    </sheetView>
  </sheetViews>
  <sheetFormatPr defaultRowHeight="15"/>
  <cols>
    <col min="1" max="1" width="14.7109375" customWidth="1"/>
    <col min="2" max="2" width="76" customWidth="1"/>
    <col min="3" max="3" width="19.28515625" customWidth="1"/>
    <col min="4" max="4" width="15" bestFit="1" customWidth="1"/>
    <col min="5" max="5" width="18.42578125" customWidth="1"/>
    <col min="6" max="6" width="16.28515625" bestFit="1" customWidth="1"/>
    <col min="7" max="7" width="11.5703125" customWidth="1"/>
    <col min="8" max="8" width="17.42578125" customWidth="1"/>
    <col min="9" max="9" width="9.140625" bestFit="1" customWidth="1"/>
  </cols>
  <sheetData>
    <row r="1" spans="1:9" ht="41.25" customHeight="1">
      <c r="A1" s="641"/>
      <c r="B1" s="644" t="s">
        <v>16</v>
      </c>
      <c r="C1" s="644"/>
      <c r="D1" s="644"/>
      <c r="E1" s="644"/>
      <c r="F1" s="644"/>
      <c r="G1" s="644"/>
      <c r="H1" s="644"/>
      <c r="I1" s="644"/>
    </row>
    <row r="2" spans="1:9">
      <c r="A2" s="642"/>
      <c r="B2" s="495" t="str">
        <f>PAVIM.!$G$2</f>
        <v>PREFEITURA MUNICIPAL DE MARACAJÁ</v>
      </c>
      <c r="C2" s="652" t="str">
        <f>PAVIM.!$H$2</f>
        <v>BAIRRO: ESPIGÃO GRANDE</v>
      </c>
      <c r="D2" s="653"/>
      <c r="E2" s="654"/>
      <c r="F2" s="645" t="str">
        <f>PAVIM.!$K$2</f>
        <v>MUNICIPIO: MARACAJÁ</v>
      </c>
      <c r="G2" s="645"/>
      <c r="H2" s="646" t="str">
        <f>PAVIM.!$M$2</f>
        <v>ESTADO: SANTA CATARINA</v>
      </c>
      <c r="I2" s="646"/>
    </row>
    <row r="3" spans="1:9">
      <c r="A3" s="643"/>
      <c r="B3" s="649" t="str">
        <f>PAVIM.!$G$3</f>
        <v>RUA PARANÁ - TRECHO 01</v>
      </c>
      <c r="C3" s="650"/>
      <c r="D3" s="650"/>
      <c r="E3" s="650"/>
      <c r="F3" s="650"/>
      <c r="G3" s="651"/>
      <c r="H3" s="647" t="str">
        <f ca="1">PAVIM.!$M$3</f>
        <v>DATA: 12/08/26</v>
      </c>
      <c r="I3" s="648"/>
    </row>
    <row r="4" spans="1:9">
      <c r="A4" s="6"/>
      <c r="B4" s="7"/>
      <c r="C4" s="7"/>
      <c r="D4" s="7"/>
      <c r="E4" s="7"/>
      <c r="F4" s="7"/>
      <c r="G4" s="15"/>
      <c r="H4" s="8"/>
      <c r="I4" s="141"/>
    </row>
    <row r="5" spans="1:9">
      <c r="A5" s="605" t="s">
        <v>0</v>
      </c>
      <c r="B5" s="605" t="s">
        <v>1</v>
      </c>
      <c r="C5" s="605" t="s">
        <v>2</v>
      </c>
      <c r="D5" s="605" t="s">
        <v>3</v>
      </c>
      <c r="E5" s="605" t="s">
        <v>372</v>
      </c>
      <c r="F5" s="605" t="s">
        <v>262</v>
      </c>
      <c r="G5" s="655" t="s">
        <v>17</v>
      </c>
      <c r="H5" s="605" t="s">
        <v>7</v>
      </c>
      <c r="I5" s="605" t="s">
        <v>18</v>
      </c>
    </row>
    <row r="6" spans="1:9" ht="15.75" customHeight="1">
      <c r="A6" s="605"/>
      <c r="B6" s="605"/>
      <c r="C6" s="605"/>
      <c r="D6" s="605"/>
      <c r="E6" s="605"/>
      <c r="F6" s="605"/>
      <c r="G6" s="655"/>
      <c r="H6" s="605"/>
      <c r="I6" s="605"/>
    </row>
    <row r="7" spans="1:9">
      <c r="A7" s="279">
        <f>ORÇAMENTO!A9</f>
        <v>1</v>
      </c>
      <c r="B7" s="280" t="str">
        <f>ORÇAMENTO!B9</f>
        <v>PAVIMENTAÇÃO</v>
      </c>
      <c r="C7" s="281"/>
      <c r="D7" s="281"/>
      <c r="E7" s="290"/>
      <c r="F7" s="282">
        <f>ORÇAMENTO!J9</f>
        <v>65125.16</v>
      </c>
      <c r="G7" s="282"/>
      <c r="H7" s="283">
        <f>E7+F7</f>
        <v>65125.16</v>
      </c>
      <c r="I7" s="317" t="e">
        <f t="shared" ref="I7:I12" si="0">H7/$H$49</f>
        <v>#REF!</v>
      </c>
    </row>
    <row r="8" spans="1:9">
      <c r="A8" s="284" t="e">
        <f>ORÇAMENTO!#REF!</f>
        <v>#REF!</v>
      </c>
      <c r="B8" s="285" t="e">
        <f>ORÇAMENTO!#REF!</f>
        <v>#REF!</v>
      </c>
      <c r="C8" s="286"/>
      <c r="D8" s="286"/>
      <c r="E8" s="290"/>
      <c r="F8" s="287" t="e">
        <f>ORÇAMENTO!#REF!</f>
        <v>#REF!</v>
      </c>
      <c r="G8" s="287"/>
      <c r="H8" s="288" t="e">
        <f>SUM(E8:F8)</f>
        <v>#REF!</v>
      </c>
      <c r="I8" s="318" t="e">
        <f t="shared" si="0"/>
        <v>#REF!</v>
      </c>
    </row>
    <row r="9" spans="1:9">
      <c r="A9" s="284" t="e">
        <f>ORÇAMENTO!#REF!</f>
        <v>#REF!</v>
      </c>
      <c r="B9" s="285" t="e">
        <f>ORÇAMENTO!#REF!</f>
        <v>#REF!</v>
      </c>
      <c r="C9" s="286"/>
      <c r="D9" s="286"/>
      <c r="E9" s="290">
        <v>144356.79999999999</v>
      </c>
      <c r="F9" s="289" t="e">
        <f>ORÇAMENTO!#REF!-E9</f>
        <v>#REF!</v>
      </c>
      <c r="G9" s="289"/>
      <c r="H9" s="288" t="e">
        <f>E9+F9</f>
        <v>#REF!</v>
      </c>
      <c r="I9" s="318" t="e">
        <f t="shared" si="0"/>
        <v>#REF!</v>
      </c>
    </row>
    <row r="10" spans="1:9">
      <c r="A10" s="284" t="e">
        <f>ORÇAMENTO!#REF!</f>
        <v>#REF!</v>
      </c>
      <c r="B10" s="285" t="e">
        <f>ORÇAMENTO!#REF!</f>
        <v>#REF!</v>
      </c>
      <c r="C10" s="286"/>
      <c r="D10" s="290"/>
      <c r="E10" s="290"/>
      <c r="F10" s="289" t="e">
        <f>ORÇAMENTO!#REF!</f>
        <v>#REF!</v>
      </c>
      <c r="G10" s="289"/>
      <c r="H10" s="288" t="e">
        <f>SUM(E10:F10)</f>
        <v>#REF!</v>
      </c>
      <c r="I10" s="318" t="e">
        <f t="shared" si="0"/>
        <v>#REF!</v>
      </c>
    </row>
    <row r="11" spans="1:9" s="173" customFormat="1">
      <c r="A11" s="284" t="e">
        <f>ORÇAMENTO!#REF!</f>
        <v>#REF!</v>
      </c>
      <c r="B11" s="291" t="e">
        <f>ORÇAMENTO!#REF!</f>
        <v>#REF!</v>
      </c>
      <c r="C11" s="286"/>
      <c r="D11" s="290"/>
      <c r="E11" s="290"/>
      <c r="F11" s="289" t="e">
        <f>ORÇAMENTO!#REF!</f>
        <v>#REF!</v>
      </c>
      <c r="G11" s="289"/>
      <c r="H11" s="288" t="e">
        <f>SUM(E11:F11)</f>
        <v>#REF!</v>
      </c>
      <c r="I11" s="318" t="e">
        <f t="shared" si="0"/>
        <v>#REF!</v>
      </c>
    </row>
    <row r="12" spans="1:9">
      <c r="A12" s="284" t="e">
        <f>ORÇAMENTO!#REF!</f>
        <v>#REF!</v>
      </c>
      <c r="B12" s="291" t="e">
        <f>ORÇAMENTO!#REF!</f>
        <v>#REF!</v>
      </c>
      <c r="C12" s="286"/>
      <c r="D12" s="290"/>
      <c r="E12" s="290"/>
      <c r="F12" s="289" t="e">
        <f>ORÇAMENTO!#REF!</f>
        <v>#REF!</v>
      </c>
      <c r="G12" s="289"/>
      <c r="H12" s="288" t="e">
        <f>SUM(E12:F12)</f>
        <v>#REF!</v>
      </c>
      <c r="I12" s="318" t="e">
        <f t="shared" si="0"/>
        <v>#REF!</v>
      </c>
    </row>
    <row r="13" spans="1:9">
      <c r="A13" s="284"/>
      <c r="B13" s="286"/>
      <c r="C13" s="286"/>
      <c r="D13" s="286"/>
      <c r="E13" s="286"/>
      <c r="F13" s="289"/>
      <c r="G13" s="289"/>
      <c r="H13" s="288"/>
      <c r="I13" s="318"/>
    </row>
    <row r="14" spans="1:9">
      <c r="A14" s="284"/>
      <c r="B14" s="295"/>
      <c r="C14" s="286"/>
      <c r="D14" s="290"/>
      <c r="E14" s="289"/>
      <c r="F14" s="292"/>
      <c r="G14" s="289"/>
      <c r="H14" s="293"/>
      <c r="I14" s="296"/>
    </row>
    <row r="15" spans="1:9">
      <c r="A15" s="284"/>
      <c r="B15" s="295"/>
      <c r="C15" s="286"/>
      <c r="D15" s="290"/>
      <c r="E15" s="289"/>
      <c r="F15" s="292"/>
      <c r="G15" s="289"/>
      <c r="H15" s="293"/>
      <c r="I15" s="296"/>
    </row>
    <row r="16" spans="1:9">
      <c r="A16" s="284"/>
      <c r="B16" s="295"/>
      <c r="C16" s="286"/>
      <c r="D16" s="290"/>
      <c r="E16" s="289"/>
      <c r="F16" s="292"/>
      <c r="G16" s="289"/>
      <c r="H16" s="293"/>
      <c r="I16" s="296"/>
    </row>
    <row r="17" spans="1:9">
      <c r="A17" s="284"/>
      <c r="B17" s="295"/>
      <c r="C17" s="286"/>
      <c r="D17" s="290"/>
      <c r="E17" s="289"/>
      <c r="F17" s="292"/>
      <c r="G17" s="289"/>
      <c r="H17" s="293"/>
      <c r="I17" s="296"/>
    </row>
    <row r="18" spans="1:9">
      <c r="A18" s="284"/>
      <c r="B18" s="295"/>
      <c r="C18" s="286"/>
      <c r="D18" s="290"/>
      <c r="E18" s="289"/>
      <c r="F18" s="292"/>
      <c r="G18" s="289"/>
      <c r="H18" s="293"/>
      <c r="I18" s="296"/>
    </row>
    <row r="19" spans="1:9">
      <c r="A19" s="284"/>
      <c r="B19" s="295"/>
      <c r="C19" s="286"/>
      <c r="D19" s="290"/>
      <c r="E19" s="289"/>
      <c r="F19" s="292"/>
      <c r="G19" s="289"/>
      <c r="H19" s="293"/>
      <c r="I19" s="296"/>
    </row>
    <row r="20" spans="1:9">
      <c r="A20" s="284"/>
      <c r="B20" s="295"/>
      <c r="C20" s="286"/>
      <c r="D20" s="290"/>
      <c r="E20" s="289"/>
      <c r="F20" s="292"/>
      <c r="G20" s="289"/>
      <c r="H20" s="293"/>
      <c r="I20" s="296"/>
    </row>
    <row r="21" spans="1:9">
      <c r="A21" s="284"/>
      <c r="B21" s="295"/>
      <c r="C21" s="286"/>
      <c r="D21" s="290"/>
      <c r="E21" s="289"/>
      <c r="F21" s="292"/>
      <c r="G21" s="289"/>
      <c r="H21" s="293"/>
      <c r="I21" s="296"/>
    </row>
    <row r="22" spans="1:9">
      <c r="A22" s="284"/>
      <c r="B22" s="295"/>
      <c r="C22" s="286"/>
      <c r="D22" s="286"/>
      <c r="E22" s="286"/>
      <c r="F22" s="286"/>
      <c r="G22" s="287"/>
      <c r="H22" s="293"/>
      <c r="I22" s="294"/>
    </row>
    <row r="23" spans="1:9">
      <c r="A23" s="284"/>
      <c r="B23" s="295"/>
      <c r="C23" s="286"/>
      <c r="D23" s="290"/>
      <c r="E23" s="289"/>
      <c r="F23" s="292"/>
      <c r="G23" s="289"/>
      <c r="H23" s="293"/>
      <c r="I23" s="297"/>
    </row>
    <row r="24" spans="1:9">
      <c r="A24" s="284"/>
      <c r="B24" s="295"/>
      <c r="C24" s="286"/>
      <c r="D24" s="290"/>
      <c r="E24" s="289"/>
      <c r="F24" s="292"/>
      <c r="G24" s="289"/>
      <c r="H24" s="293"/>
      <c r="I24" s="296"/>
    </row>
    <row r="25" spans="1:9">
      <c r="A25" s="284"/>
      <c r="B25" s="286"/>
      <c r="C25" s="286"/>
      <c r="D25" s="290"/>
      <c r="E25" s="289"/>
      <c r="F25" s="292"/>
      <c r="G25" s="289"/>
      <c r="H25" s="298"/>
      <c r="I25" s="297"/>
    </row>
    <row r="26" spans="1:9" s="173" customFormat="1">
      <c r="A26" s="284"/>
      <c r="B26" s="286"/>
      <c r="C26" s="286"/>
      <c r="D26" s="290"/>
      <c r="E26" s="289"/>
      <c r="F26" s="292"/>
      <c r="G26" s="289"/>
      <c r="H26" s="298"/>
      <c r="I26" s="297"/>
    </row>
    <row r="27" spans="1:9" s="173" customFormat="1">
      <c r="A27" s="284"/>
      <c r="B27" s="286"/>
      <c r="C27" s="286"/>
      <c r="D27" s="290"/>
      <c r="E27" s="289"/>
      <c r="F27" s="292"/>
      <c r="G27" s="289"/>
      <c r="H27" s="298"/>
      <c r="I27" s="297"/>
    </row>
    <row r="28" spans="1:9" s="173" customFormat="1">
      <c r="A28" s="284"/>
      <c r="B28" s="286"/>
      <c r="C28" s="286"/>
      <c r="D28" s="290"/>
      <c r="E28" s="289"/>
      <c r="F28" s="292"/>
      <c r="G28" s="289"/>
      <c r="H28" s="298"/>
      <c r="I28" s="297"/>
    </row>
    <row r="29" spans="1:9" s="173" customFormat="1">
      <c r="A29" s="284"/>
      <c r="B29" s="286"/>
      <c r="C29" s="286"/>
      <c r="D29" s="290"/>
      <c r="E29" s="289"/>
      <c r="F29" s="292"/>
      <c r="G29" s="289"/>
      <c r="H29" s="298"/>
      <c r="I29" s="297"/>
    </row>
    <row r="30" spans="1:9" s="173" customFormat="1">
      <c r="A30" s="284"/>
      <c r="B30" s="286"/>
      <c r="C30" s="286"/>
      <c r="D30" s="290"/>
      <c r="E30" s="289"/>
      <c r="F30" s="292"/>
      <c r="G30" s="289"/>
      <c r="H30" s="298"/>
      <c r="I30" s="297"/>
    </row>
    <row r="31" spans="1:9" s="173" customFormat="1">
      <c r="A31" s="284"/>
      <c r="B31" s="286"/>
      <c r="C31" s="286"/>
      <c r="D31" s="290"/>
      <c r="E31" s="289"/>
      <c r="F31" s="292"/>
      <c r="G31" s="289"/>
      <c r="H31" s="298"/>
      <c r="I31" s="297"/>
    </row>
    <row r="32" spans="1:9" s="173" customFormat="1">
      <c r="A32" s="284"/>
      <c r="B32" s="286"/>
      <c r="C32" s="286"/>
      <c r="D32" s="290"/>
      <c r="E32" s="289"/>
      <c r="F32" s="292"/>
      <c r="G32" s="289"/>
      <c r="H32" s="298"/>
      <c r="I32" s="297"/>
    </row>
    <row r="33" spans="1:9" s="173" customFormat="1">
      <c r="A33" s="284"/>
      <c r="B33" s="286"/>
      <c r="C33" s="286"/>
      <c r="D33" s="290"/>
      <c r="E33" s="289"/>
      <c r="F33" s="292"/>
      <c r="G33" s="289"/>
      <c r="H33" s="298"/>
      <c r="I33" s="297"/>
    </row>
    <row r="34" spans="1:9" s="173" customFormat="1">
      <c r="A34" s="284"/>
      <c r="B34" s="286"/>
      <c r="C34" s="286"/>
      <c r="D34" s="290"/>
      <c r="E34" s="289"/>
      <c r="F34" s="292"/>
      <c r="G34" s="289"/>
      <c r="H34" s="298"/>
      <c r="I34" s="297"/>
    </row>
    <row r="35" spans="1:9" s="173" customFormat="1">
      <c r="A35" s="284"/>
      <c r="B35" s="286"/>
      <c r="C35" s="286"/>
      <c r="D35" s="290"/>
      <c r="E35" s="289"/>
      <c r="F35" s="292"/>
      <c r="G35" s="289"/>
      <c r="H35" s="298"/>
      <c r="I35" s="297"/>
    </row>
    <row r="36" spans="1:9" s="173" customFormat="1">
      <c r="A36" s="284"/>
      <c r="B36" s="286"/>
      <c r="C36" s="286"/>
      <c r="D36" s="290"/>
      <c r="E36" s="289"/>
      <c r="F36" s="292"/>
      <c r="G36" s="289"/>
      <c r="H36" s="298"/>
      <c r="I36" s="297"/>
    </row>
    <row r="37" spans="1:9" s="173" customFormat="1">
      <c r="A37" s="284"/>
      <c r="B37" s="286"/>
      <c r="C37" s="286"/>
      <c r="D37" s="290"/>
      <c r="E37" s="289"/>
      <c r="F37" s="292"/>
      <c r="G37" s="289"/>
      <c r="H37" s="298"/>
      <c r="I37" s="297"/>
    </row>
    <row r="38" spans="1:9" s="173" customFormat="1">
      <c r="A38" s="284"/>
      <c r="B38" s="286"/>
      <c r="C38" s="286"/>
      <c r="D38" s="290"/>
      <c r="E38" s="289"/>
      <c r="F38" s="292"/>
      <c r="G38" s="289"/>
      <c r="H38" s="298"/>
      <c r="I38" s="297"/>
    </row>
    <row r="39" spans="1:9" s="173" customFormat="1">
      <c r="A39" s="284"/>
      <c r="B39" s="286"/>
      <c r="C39" s="286"/>
      <c r="D39" s="290"/>
      <c r="E39" s="289"/>
      <c r="F39" s="292"/>
      <c r="G39" s="289"/>
      <c r="H39" s="298"/>
      <c r="I39" s="297"/>
    </row>
    <row r="40" spans="1:9" s="173" customFormat="1">
      <c r="A40" s="284"/>
      <c r="B40" s="286"/>
      <c r="C40" s="286"/>
      <c r="D40" s="290"/>
      <c r="E40" s="289"/>
      <c r="F40" s="292"/>
      <c r="G40" s="289"/>
      <c r="H40" s="298"/>
      <c r="I40" s="297"/>
    </row>
    <row r="41" spans="1:9" s="173" customFormat="1">
      <c r="A41" s="284"/>
      <c r="B41" s="286"/>
      <c r="C41" s="286"/>
      <c r="D41" s="290"/>
      <c r="E41" s="289"/>
      <c r="F41" s="292"/>
      <c r="G41" s="289"/>
      <c r="H41" s="298"/>
      <c r="I41" s="297"/>
    </row>
    <row r="42" spans="1:9" s="173" customFormat="1">
      <c r="A42" s="284"/>
      <c r="B42" s="286"/>
      <c r="C42" s="286"/>
      <c r="D42" s="290"/>
      <c r="E42" s="289"/>
      <c r="F42" s="292"/>
      <c r="G42" s="289"/>
      <c r="H42" s="298"/>
      <c r="I42" s="297"/>
    </row>
    <row r="43" spans="1:9">
      <c r="A43" s="284"/>
      <c r="B43" s="295"/>
      <c r="C43" s="286"/>
      <c r="D43" s="290"/>
      <c r="E43" s="289"/>
      <c r="F43" s="292"/>
      <c r="G43" s="289"/>
      <c r="H43" s="293"/>
      <c r="I43" s="297"/>
    </row>
    <row r="44" spans="1:9">
      <c r="A44" s="284"/>
      <c r="B44" s="295"/>
      <c r="C44" s="286"/>
      <c r="D44" s="290"/>
      <c r="E44" s="289"/>
      <c r="F44" s="292"/>
      <c r="G44" s="289"/>
      <c r="H44" s="293"/>
      <c r="I44" s="297"/>
    </row>
    <row r="45" spans="1:9">
      <c r="A45" s="284"/>
      <c r="B45" s="295"/>
      <c r="C45" s="286"/>
      <c r="D45" s="290"/>
      <c r="E45" s="289"/>
      <c r="F45" s="292"/>
      <c r="G45" s="289"/>
      <c r="H45" s="293"/>
      <c r="I45" s="296"/>
    </row>
    <row r="46" spans="1:9">
      <c r="A46" s="284"/>
      <c r="B46" s="295"/>
      <c r="C46" s="286"/>
      <c r="D46" s="286"/>
      <c r="E46" s="286"/>
      <c r="F46" s="286"/>
      <c r="G46" s="287"/>
      <c r="H46" s="293"/>
      <c r="I46" s="294"/>
    </row>
    <row r="47" spans="1:9">
      <c r="A47" s="284"/>
      <c r="B47" s="295"/>
      <c r="C47" s="286"/>
      <c r="D47" s="290"/>
      <c r="E47" s="289"/>
      <c r="F47" s="292"/>
      <c r="G47" s="289"/>
      <c r="H47" s="293"/>
      <c r="I47" s="299"/>
    </row>
    <row r="48" spans="1:9">
      <c r="A48" s="284"/>
      <c r="B48" s="295"/>
      <c r="C48" s="286"/>
      <c r="D48" s="290"/>
      <c r="E48" s="289"/>
      <c r="F48" s="292"/>
      <c r="G48" s="289"/>
      <c r="H48" s="298"/>
      <c r="I48" s="300"/>
    </row>
    <row r="49" spans="1:9">
      <c r="A49" s="301"/>
      <c r="B49" s="302"/>
      <c r="C49" s="303"/>
      <c r="D49" s="304"/>
      <c r="E49" s="319">
        <f>SUM(E7:E48)</f>
        <v>144356.79999999999</v>
      </c>
      <c r="F49" s="305" t="e">
        <f>SUM(F7:F48)</f>
        <v>#REF!</v>
      </c>
      <c r="G49" s="305"/>
      <c r="H49" s="305" t="e">
        <f>SUM(H7:H48)</f>
        <v>#REF!</v>
      </c>
      <c r="I49" s="320" t="e">
        <f>SUM(I7:I48)</f>
        <v>#REF!</v>
      </c>
    </row>
    <row r="50" spans="1:9">
      <c r="A50" s="235"/>
      <c r="B50" s="13"/>
      <c r="C50" s="13"/>
      <c r="D50" s="13"/>
      <c r="E50" s="13"/>
      <c r="F50" s="13"/>
      <c r="G50" s="13"/>
      <c r="H50" s="235"/>
      <c r="I50" s="235"/>
    </row>
    <row r="51" spans="1:9">
      <c r="A51" s="7"/>
      <c r="B51" s="7"/>
      <c r="C51" s="7"/>
      <c r="D51" s="7"/>
      <c r="E51" s="7"/>
      <c r="F51" s="7"/>
      <c r="G51" s="7"/>
      <c r="H51" s="8"/>
      <c r="I51" s="8"/>
    </row>
    <row r="52" spans="1:9">
      <c r="A52" s="7"/>
      <c r="B52" s="7"/>
      <c r="C52" s="7"/>
      <c r="D52" s="7"/>
      <c r="E52" s="7"/>
      <c r="F52" s="7"/>
      <c r="G52" s="7"/>
      <c r="H52" s="8"/>
      <c r="I52" s="8"/>
    </row>
    <row r="53" spans="1:9">
      <c r="A53" s="7"/>
      <c r="B53" s="7"/>
      <c r="C53" s="7"/>
      <c r="D53" s="7"/>
      <c r="E53" s="7"/>
      <c r="F53" s="7"/>
      <c r="G53" s="7"/>
      <c r="H53" s="8"/>
      <c r="I53" s="8"/>
    </row>
    <row r="54" spans="1:9">
      <c r="A54" s="7"/>
      <c r="B54" s="7"/>
      <c r="C54" s="7"/>
      <c r="D54" s="7"/>
      <c r="E54" s="7"/>
      <c r="F54" s="7"/>
      <c r="G54" s="7"/>
      <c r="H54" s="8"/>
      <c r="I54" s="8"/>
    </row>
    <row r="55" spans="1:9">
      <c r="A55" s="7"/>
      <c r="B55" s="7"/>
      <c r="C55" s="7"/>
      <c r="D55" s="7"/>
      <c r="E55" s="7"/>
      <c r="F55" s="7"/>
      <c r="G55" s="7"/>
      <c r="H55" s="8"/>
      <c r="I55" s="8"/>
    </row>
    <row r="56" spans="1:9">
      <c r="A56" s="7"/>
      <c r="B56" s="14"/>
      <c r="C56" s="7"/>
      <c r="D56" s="7"/>
      <c r="E56" s="7"/>
      <c r="F56" s="7"/>
      <c r="G56" s="7"/>
      <c r="H56" s="8"/>
      <c r="I56" s="8"/>
    </row>
    <row r="57" spans="1:9">
      <c r="A57" s="7"/>
      <c r="B57" s="7"/>
      <c r="C57" s="7"/>
      <c r="D57" s="7"/>
      <c r="E57" s="7"/>
      <c r="F57" s="7"/>
      <c r="G57" s="7"/>
      <c r="H57" s="8"/>
      <c r="I57" s="8"/>
    </row>
    <row r="68" spans="1:9">
      <c r="A68" s="173"/>
      <c r="B68" s="173"/>
      <c r="C68" s="173"/>
      <c r="D68" s="173"/>
      <c r="E68" s="173"/>
      <c r="F68" s="173"/>
      <c r="G68" s="173"/>
      <c r="H68" s="173"/>
      <c r="I68" s="173"/>
    </row>
    <row r="69" spans="1:9" s="173" customFormat="1">
      <c r="A69"/>
      <c r="B69"/>
      <c r="C69"/>
      <c r="D69"/>
      <c r="E69"/>
      <c r="F69"/>
      <c r="G69"/>
      <c r="H69"/>
      <c r="I69"/>
    </row>
  </sheetData>
  <mergeCells count="16">
    <mergeCell ref="A1:A3"/>
    <mergeCell ref="A5:A6"/>
    <mergeCell ref="B5:B6"/>
    <mergeCell ref="C5:C6"/>
    <mergeCell ref="D5:D6"/>
    <mergeCell ref="B1:I1"/>
    <mergeCell ref="F2:G2"/>
    <mergeCell ref="H2:I2"/>
    <mergeCell ref="H3:I3"/>
    <mergeCell ref="B3:G3"/>
    <mergeCell ref="C2:E2"/>
    <mergeCell ref="H5:H6"/>
    <mergeCell ref="I5:I6"/>
    <mergeCell ref="E5:E6"/>
    <mergeCell ref="G5:G6"/>
    <mergeCell ref="F5:F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headerFooter>
    <oddFooter>&amp;CEng° Darcio Pagani Vieira
Crea/SC - 077.222-9</oddFooter>
  </headerFooter>
  <ignoredErrors>
    <ignoredError sqref="H7:H9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GridLines="0" view="pageBreakPreview" zoomScale="85" zoomScaleNormal="85" zoomScaleSheetLayoutView="85" workbookViewId="0">
      <selection activeCell="C19" sqref="C19"/>
    </sheetView>
  </sheetViews>
  <sheetFormatPr defaultRowHeight="15"/>
  <cols>
    <col min="1" max="1" width="22.85546875" style="173" bestFit="1" customWidth="1"/>
    <col min="2" max="2" width="9.7109375" style="173" bestFit="1" customWidth="1"/>
    <col min="3" max="3" width="8.85546875" style="173" bestFit="1" customWidth="1"/>
    <col min="4" max="4" width="9.7109375" style="173" bestFit="1" customWidth="1"/>
    <col min="5" max="5" width="8.85546875" style="173" bestFit="1" customWidth="1"/>
    <col min="6" max="6" width="9.7109375" style="173" bestFit="1" customWidth="1"/>
    <col min="7" max="7" width="8.85546875" style="173" bestFit="1" customWidth="1"/>
    <col min="8" max="8" width="9.7109375" style="173" bestFit="1" customWidth="1"/>
    <col min="9" max="9" width="8.85546875" style="173" bestFit="1" customWidth="1"/>
    <col min="10" max="10" width="9.7109375" style="173" customWidth="1"/>
    <col min="11" max="11" width="8.85546875" style="173" bestFit="1" customWidth="1"/>
    <col min="12" max="12" width="9.7109375" style="173" bestFit="1" customWidth="1"/>
    <col min="13" max="13" width="8.85546875" style="173" bestFit="1" customWidth="1"/>
    <col min="14" max="14" width="9.7109375" style="173" bestFit="1" customWidth="1"/>
    <col min="15" max="15" width="8.85546875" style="173" bestFit="1" customWidth="1"/>
    <col min="16" max="16" width="9.7109375" style="173" bestFit="1" customWidth="1"/>
    <col min="17" max="17" width="8.85546875" style="173" bestFit="1" customWidth="1"/>
    <col min="18" max="18" width="9.7109375" style="173" bestFit="1" customWidth="1"/>
    <col min="19" max="19" width="8.85546875" style="173" bestFit="1" customWidth="1"/>
    <col min="20" max="20" width="9.7109375" style="173" customWidth="1"/>
    <col min="21" max="21" width="8.85546875" style="173" bestFit="1" customWidth="1"/>
    <col min="22" max="22" width="9.7109375" style="173" bestFit="1" customWidth="1"/>
    <col min="23" max="23" width="8.85546875" style="173" bestFit="1" customWidth="1"/>
    <col min="24" max="24" width="9.7109375" style="173" bestFit="1" customWidth="1"/>
    <col min="25" max="25" width="8.85546875" style="173" bestFit="1" customWidth="1"/>
    <col min="26" max="16384" width="9.140625" style="173"/>
  </cols>
  <sheetData>
    <row r="1" spans="1:25" ht="41.25" customHeight="1">
      <c r="A1" s="644"/>
      <c r="B1" s="663" t="s">
        <v>268</v>
      </c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  <c r="R1" s="664"/>
      <c r="S1" s="664"/>
      <c r="T1" s="664"/>
      <c r="U1" s="664"/>
      <c r="V1" s="664"/>
      <c r="W1" s="664"/>
      <c r="X1" s="664"/>
      <c r="Y1" s="665"/>
    </row>
    <row r="2" spans="1:25">
      <c r="A2" s="644"/>
      <c r="B2" s="646" t="str">
        <f>PAVIM.!$G$2</f>
        <v>PREFEITURA MUNICIPAL DE MARACAJÁ</v>
      </c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 t="str">
        <f>PAVIM.!$H$2</f>
        <v>BAIRRO: ESPIGÃO GRANDE</v>
      </c>
      <c r="O2" s="646"/>
      <c r="P2" s="646"/>
      <c r="Q2" s="646"/>
      <c r="R2" s="674" t="str">
        <f>PAVIM.!$K$2</f>
        <v>MUNICIPIO: MARACAJÁ</v>
      </c>
      <c r="S2" s="675"/>
      <c r="T2" s="675"/>
      <c r="U2" s="676"/>
      <c r="V2" s="646" t="str">
        <f>PAVIM.!$M$2</f>
        <v>ESTADO: SANTA CATARINA</v>
      </c>
      <c r="W2" s="646"/>
      <c r="X2" s="646"/>
      <c r="Y2" s="646"/>
    </row>
    <row r="3" spans="1:25">
      <c r="A3" s="644"/>
      <c r="B3" s="646" t="str">
        <f>PAVIM.!$G$3</f>
        <v>RUA PARANÁ - TRECHO 01</v>
      </c>
      <c r="C3" s="646"/>
      <c r="D3" s="646"/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646"/>
      <c r="Q3" s="646"/>
      <c r="R3" s="646"/>
      <c r="S3" s="646"/>
      <c r="T3" s="646"/>
      <c r="U3" s="646"/>
      <c r="V3" s="662" t="str">
        <f ca="1">PAVIM.!$M$3</f>
        <v>DATA: 12/08/26</v>
      </c>
      <c r="W3" s="662"/>
      <c r="X3" s="662"/>
      <c r="Y3" s="662"/>
    </row>
    <row r="4" spans="1:25" ht="15" customHeight="1">
      <c r="A4" s="9"/>
      <c r="B4" s="10"/>
      <c r="C4" s="10"/>
      <c r="D4" s="10"/>
      <c r="E4" s="10"/>
      <c r="F4" s="10"/>
      <c r="G4" s="11"/>
      <c r="H4" s="12"/>
      <c r="I4" s="1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20"/>
    </row>
    <row r="5" spans="1:25" ht="15.75" customHeight="1">
      <c r="A5" s="630" t="s">
        <v>22</v>
      </c>
      <c r="B5" s="632" t="s">
        <v>19</v>
      </c>
      <c r="C5" s="632"/>
      <c r="D5" s="633" t="s">
        <v>23</v>
      </c>
      <c r="E5" s="634"/>
      <c r="F5" s="633" t="s">
        <v>24</v>
      </c>
      <c r="G5" s="634"/>
      <c r="H5" s="632" t="s">
        <v>25</v>
      </c>
      <c r="I5" s="632"/>
      <c r="J5" s="633" t="s">
        <v>26</v>
      </c>
      <c r="K5" s="634"/>
      <c r="L5" s="633" t="s">
        <v>27</v>
      </c>
      <c r="M5" s="634"/>
      <c r="N5" s="632" t="s">
        <v>28</v>
      </c>
      <c r="O5" s="632"/>
      <c r="P5" s="633" t="s">
        <v>29</v>
      </c>
      <c r="Q5" s="634"/>
      <c r="R5" s="633" t="s">
        <v>30</v>
      </c>
      <c r="S5" s="634"/>
      <c r="T5" s="632" t="s">
        <v>31</v>
      </c>
      <c r="U5" s="632"/>
      <c r="V5" s="633" t="s">
        <v>32</v>
      </c>
      <c r="W5" s="634"/>
      <c r="X5" s="633" t="s">
        <v>33</v>
      </c>
      <c r="Y5" s="634"/>
    </row>
    <row r="6" spans="1:25">
      <c r="A6" s="631"/>
      <c r="B6" s="321" t="s">
        <v>20</v>
      </c>
      <c r="C6" s="321" t="s">
        <v>21</v>
      </c>
      <c r="D6" s="321" t="s">
        <v>20</v>
      </c>
      <c r="E6" s="321" t="s">
        <v>21</v>
      </c>
      <c r="F6" s="321" t="s">
        <v>20</v>
      </c>
      <c r="G6" s="321" t="s">
        <v>21</v>
      </c>
      <c r="H6" s="321" t="s">
        <v>20</v>
      </c>
      <c r="I6" s="321" t="s">
        <v>21</v>
      </c>
      <c r="J6" s="321" t="s">
        <v>20</v>
      </c>
      <c r="K6" s="321" t="s">
        <v>21</v>
      </c>
      <c r="L6" s="321" t="s">
        <v>20</v>
      </c>
      <c r="M6" s="321" t="s">
        <v>21</v>
      </c>
      <c r="N6" s="321" t="s">
        <v>20</v>
      </c>
      <c r="O6" s="321" t="s">
        <v>21</v>
      </c>
      <c r="P6" s="321" t="s">
        <v>20</v>
      </c>
      <c r="Q6" s="321" t="s">
        <v>21</v>
      </c>
      <c r="R6" s="321" t="s">
        <v>20</v>
      </c>
      <c r="S6" s="321" t="s">
        <v>21</v>
      </c>
      <c r="T6" s="321" t="s">
        <v>20</v>
      </c>
      <c r="U6" s="321" t="s">
        <v>21</v>
      </c>
      <c r="V6" s="321" t="s">
        <v>20</v>
      </c>
      <c r="W6" s="321" t="s">
        <v>21</v>
      </c>
      <c r="X6" s="321" t="s">
        <v>20</v>
      </c>
      <c r="Y6" s="321" t="s">
        <v>21</v>
      </c>
    </row>
    <row r="7" spans="1:25">
      <c r="A7" s="17">
        <f>IF(QCI!A7="","",QCI!A7)</f>
        <v>1</v>
      </c>
      <c r="B7" s="322">
        <v>0.5</v>
      </c>
      <c r="C7" s="323">
        <f>B7</f>
        <v>0.5</v>
      </c>
      <c r="D7" s="322">
        <v>0.5</v>
      </c>
      <c r="E7" s="323">
        <f>B7+D7</f>
        <v>1</v>
      </c>
      <c r="F7" s="322">
        <v>0</v>
      </c>
      <c r="G7" s="323">
        <f>F7+D7+B7</f>
        <v>1</v>
      </c>
      <c r="H7" s="322">
        <v>0</v>
      </c>
      <c r="I7" s="323">
        <f>B7+D7+F7+H7</f>
        <v>1</v>
      </c>
      <c r="J7" s="322">
        <v>0</v>
      </c>
      <c r="K7" s="323">
        <f>B7+D7+F7+H7+J7</f>
        <v>1</v>
      </c>
      <c r="L7" s="322"/>
      <c r="M7" s="323"/>
      <c r="N7" s="474"/>
      <c r="O7" s="323"/>
      <c r="P7" s="474"/>
      <c r="Q7" s="323"/>
      <c r="R7" s="474"/>
      <c r="S7" s="323"/>
      <c r="T7" s="474"/>
      <c r="U7" s="323"/>
      <c r="V7" s="75"/>
      <c r="W7" s="16"/>
      <c r="X7" s="75"/>
      <c r="Y7" s="16"/>
    </row>
    <row r="8" spans="1:25">
      <c r="A8" s="17" t="e">
        <f>IF(QCI!A8="","",QCI!A8)</f>
        <v>#REF!</v>
      </c>
      <c r="B8" s="322">
        <v>0.2</v>
      </c>
      <c r="C8" s="323">
        <f>B8</f>
        <v>0.2</v>
      </c>
      <c r="D8" s="322">
        <v>0.4</v>
      </c>
      <c r="E8" s="323">
        <f>B8+D8</f>
        <v>0.60000000000000009</v>
      </c>
      <c r="F8" s="322">
        <v>0.4</v>
      </c>
      <c r="G8" s="323">
        <f>F8+D8+B8</f>
        <v>1</v>
      </c>
      <c r="H8" s="322">
        <v>0</v>
      </c>
      <c r="I8" s="323">
        <f t="shared" ref="I8:I12" si="0">B8+D8+F8+H8</f>
        <v>1</v>
      </c>
      <c r="J8" s="322">
        <v>0</v>
      </c>
      <c r="K8" s="323">
        <f t="shared" ref="K8:K12" si="1">B8+D8+F8+H8+J8</f>
        <v>1</v>
      </c>
      <c r="L8" s="322"/>
      <c r="M8" s="323"/>
      <c r="N8" s="474"/>
      <c r="O8" s="323"/>
      <c r="P8" s="474"/>
      <c r="Q8" s="323"/>
      <c r="R8" s="474"/>
      <c r="S8" s="323"/>
      <c r="T8" s="474"/>
      <c r="U8" s="323"/>
      <c r="V8" s="75"/>
      <c r="W8" s="18"/>
      <c r="X8" s="75"/>
      <c r="Y8" s="18"/>
    </row>
    <row r="9" spans="1:25">
      <c r="A9" s="17" t="e">
        <f>IF(QCI!A9="","",QCI!A9)</f>
        <v>#REF!</v>
      </c>
      <c r="B9" s="73">
        <v>0.1</v>
      </c>
      <c r="C9" s="323">
        <f>B9</f>
        <v>0.1</v>
      </c>
      <c r="D9" s="322">
        <v>0.2</v>
      </c>
      <c r="E9" s="323">
        <f>B9+D9</f>
        <v>0.30000000000000004</v>
      </c>
      <c r="F9" s="322">
        <v>0.3</v>
      </c>
      <c r="G9" s="323">
        <f>F9+D9+B9</f>
        <v>0.6</v>
      </c>
      <c r="H9" s="322">
        <v>0.3</v>
      </c>
      <c r="I9" s="323">
        <f t="shared" si="0"/>
        <v>0.90000000000000013</v>
      </c>
      <c r="J9" s="322">
        <v>0.1</v>
      </c>
      <c r="K9" s="323">
        <f t="shared" si="1"/>
        <v>1.0000000000000002</v>
      </c>
      <c r="L9" s="322"/>
      <c r="M9" s="323"/>
      <c r="N9" s="474"/>
      <c r="O9" s="323"/>
      <c r="P9" s="474"/>
      <c r="Q9" s="323"/>
      <c r="R9" s="474"/>
      <c r="S9" s="323"/>
      <c r="T9" s="474"/>
      <c r="U9" s="323"/>
      <c r="V9" s="75"/>
      <c r="W9" s="18"/>
      <c r="X9" s="75"/>
      <c r="Y9" s="18"/>
    </row>
    <row r="10" spans="1:25">
      <c r="A10" s="17" t="e">
        <f>IF(QCI!A10="","",QCI!A10)</f>
        <v>#REF!</v>
      </c>
      <c r="B10" s="322">
        <v>0.1</v>
      </c>
      <c r="C10" s="323">
        <f>B10</f>
        <v>0.1</v>
      </c>
      <c r="D10" s="322">
        <v>0.2</v>
      </c>
      <c r="E10" s="323">
        <f>B10+D10</f>
        <v>0.30000000000000004</v>
      </c>
      <c r="F10" s="322">
        <v>0.3</v>
      </c>
      <c r="G10" s="323">
        <f>F10+D10+B10</f>
        <v>0.6</v>
      </c>
      <c r="H10" s="322">
        <v>0.3</v>
      </c>
      <c r="I10" s="323">
        <f t="shared" si="0"/>
        <v>0.90000000000000013</v>
      </c>
      <c r="J10" s="322">
        <v>0.1</v>
      </c>
      <c r="K10" s="323">
        <f t="shared" si="1"/>
        <v>1.0000000000000002</v>
      </c>
      <c r="L10" s="322"/>
      <c r="M10" s="323"/>
      <c r="N10" s="474"/>
      <c r="O10" s="323"/>
      <c r="P10" s="474"/>
      <c r="Q10" s="323"/>
      <c r="R10" s="474"/>
      <c r="S10" s="323"/>
      <c r="T10" s="474"/>
      <c r="U10" s="323"/>
      <c r="V10" s="75"/>
      <c r="W10" s="18"/>
      <c r="X10" s="75"/>
      <c r="Y10" s="18"/>
    </row>
    <row r="11" spans="1:25">
      <c r="A11" s="17" t="e">
        <f>IF(QCI!A11="","",QCI!A11)</f>
        <v>#REF!</v>
      </c>
      <c r="B11" s="73">
        <v>0</v>
      </c>
      <c r="C11" s="74">
        <f t="shared" ref="C11:C12" si="2">B11</f>
        <v>0</v>
      </c>
      <c r="D11" s="73">
        <v>0</v>
      </c>
      <c r="E11" s="74">
        <f t="shared" ref="E11:E12" si="3">B11+D11</f>
        <v>0</v>
      </c>
      <c r="F11" s="73">
        <v>0</v>
      </c>
      <c r="G11" s="74">
        <f t="shared" ref="G11:G12" si="4">F11+D11+B11</f>
        <v>0</v>
      </c>
      <c r="H11" s="73">
        <v>0.25</v>
      </c>
      <c r="I11" s="323">
        <f t="shared" si="0"/>
        <v>0.25</v>
      </c>
      <c r="J11" s="73">
        <v>0.75</v>
      </c>
      <c r="K11" s="323">
        <f t="shared" si="1"/>
        <v>1</v>
      </c>
      <c r="L11" s="73"/>
      <c r="M11" s="323"/>
      <c r="N11" s="474"/>
      <c r="O11" s="323"/>
      <c r="P11" s="474"/>
      <c r="Q11" s="323"/>
      <c r="R11" s="474"/>
      <c r="S11" s="323"/>
      <c r="T11" s="474"/>
      <c r="U11" s="323"/>
      <c r="V11" s="75"/>
      <c r="W11" s="16"/>
      <c r="X11" s="75"/>
      <c r="Y11" s="16"/>
    </row>
    <row r="12" spans="1:25">
      <c r="A12" s="17" t="e">
        <f>IF(QCI!A12="","",QCI!A12)</f>
        <v>#REF!</v>
      </c>
      <c r="B12" s="73">
        <v>0</v>
      </c>
      <c r="C12" s="74">
        <f t="shared" si="2"/>
        <v>0</v>
      </c>
      <c r="D12" s="73">
        <v>0</v>
      </c>
      <c r="E12" s="74">
        <f t="shared" si="3"/>
        <v>0</v>
      </c>
      <c r="F12" s="73">
        <v>0</v>
      </c>
      <c r="G12" s="74">
        <f t="shared" si="4"/>
        <v>0</v>
      </c>
      <c r="H12" s="73">
        <v>0.5</v>
      </c>
      <c r="I12" s="323">
        <f t="shared" si="0"/>
        <v>0.5</v>
      </c>
      <c r="J12" s="73">
        <v>0.5</v>
      </c>
      <c r="K12" s="323">
        <f t="shared" si="1"/>
        <v>1</v>
      </c>
      <c r="L12" s="73"/>
      <c r="M12" s="323"/>
      <c r="N12" s="474"/>
      <c r="O12" s="323"/>
      <c r="P12" s="474"/>
      <c r="Q12" s="323"/>
      <c r="R12" s="474"/>
      <c r="S12" s="323"/>
      <c r="T12" s="474"/>
      <c r="U12" s="323"/>
      <c r="V12" s="75"/>
      <c r="W12" s="18"/>
      <c r="X12" s="75"/>
      <c r="Y12" s="18"/>
    </row>
    <row r="13" spans="1:25">
      <c r="A13" s="17"/>
      <c r="B13" s="73"/>
      <c r="C13" s="74"/>
      <c r="D13" s="73"/>
      <c r="E13" s="74"/>
      <c r="F13" s="73"/>
      <c r="G13" s="74"/>
      <c r="H13" s="73"/>
      <c r="I13" s="323"/>
      <c r="J13" s="73"/>
      <c r="K13" s="323"/>
      <c r="L13" s="73"/>
      <c r="M13" s="323"/>
      <c r="N13" s="474"/>
      <c r="O13" s="475"/>
      <c r="P13" s="474"/>
      <c r="Q13" s="475"/>
      <c r="R13" s="474"/>
      <c r="S13" s="475"/>
      <c r="T13" s="474"/>
      <c r="U13" s="475"/>
      <c r="V13" s="75"/>
      <c r="W13" s="18"/>
      <c r="X13" s="75"/>
      <c r="Y13" s="18"/>
    </row>
    <row r="14" spans="1:25">
      <c r="A14" s="17"/>
      <c r="B14" s="75"/>
      <c r="C14" s="18"/>
      <c r="D14" s="75"/>
      <c r="E14" s="18"/>
      <c r="F14" s="75"/>
      <c r="G14" s="18"/>
      <c r="H14" s="75"/>
      <c r="I14" s="18"/>
      <c r="J14" s="75"/>
      <c r="K14" s="18"/>
      <c r="L14" s="75"/>
      <c r="M14" s="18"/>
      <c r="N14" s="476"/>
      <c r="O14" s="477"/>
      <c r="P14" s="476"/>
      <c r="Q14" s="477"/>
      <c r="R14" s="476"/>
      <c r="S14" s="477"/>
      <c r="T14" s="476"/>
      <c r="U14" s="477"/>
      <c r="V14" s="75"/>
      <c r="W14" s="18"/>
      <c r="X14" s="75"/>
      <c r="Y14" s="18"/>
    </row>
    <row r="15" spans="1:25">
      <c r="A15" s="4" t="s">
        <v>34</v>
      </c>
      <c r="B15" s="450" t="e">
        <f>(IF(ISERR(B7*QCI!$H$7=TRUE),"",B7*QCI!$H$7)+IF(ISERR(B8*QCI!$H$8=TRUE),"",B8*QCI!$H$8)+IF(ISERR(B9*QCI!$H$9=TRUE),"",B9*QCI!$H$9)+IF(ISERR(B10*QCI!$H$10=TRUE),"",B10*QCI!$H$10)+IF(ISERR(B11*QCI!$H$11=TRUE),"",B11*QCI!$H$11)+IF(ISERR(B12*QCI!$H$12=TRUE),"",B12*QCI!$H$12)+IF(ISERR(B13*QCI!$H$13=TRUE),"",B13*QCI!$H$13))/QCI!$H$49</f>
        <v>#VALUE!</v>
      </c>
      <c r="C15" s="208" t="e">
        <f>(IF(ISERR(C7*QCI!$H$7=TRUE),"",C7*QCI!$H$7)+IF(ISERR(C8*QCI!$H$8=TRUE),"",C8*QCI!$H$8)+IF(ISERR(C9*QCI!$H$9=TRUE),"",C9*QCI!$H$9)+IF(ISERR(C10*QCI!$H$10=TRUE),"",C10*QCI!$H$10)+IF(ISERR(C11*QCI!$H$11=TRUE),"",C11*QCI!$H$11)+IF(ISERR(C12*QCI!$H$12=TRUE),"",C12*QCI!$H$12)+IF(ISERR(C13*QCI!$H$13=TRUE),"",C13*QCI!$H$13))/QCI!$H$49</f>
        <v>#VALUE!</v>
      </c>
      <c r="D15" s="207" t="e">
        <f>(IF(ISERR(D7*QCI!$H$7=TRUE),"",D7*QCI!$H$7)+IF(ISERR(D8*QCI!$H$8=TRUE),"",D8*QCI!$H$8)+IF(ISERR(D9*QCI!$H$9=TRUE),"",D9*QCI!$H$9)+IF(ISERR(D10*QCI!$H$10=TRUE),"",D10*QCI!$H$10)+IF(ISERR(D11*QCI!$H$11=TRUE),"",D11*QCI!$H$11)+IF(ISERR(D12*QCI!$H$12=TRUE),"",D12*QCI!$H$12)+IF(ISERR(D13*QCI!$H$13=TRUE),"",D13*QCI!$H$13))/QCI!$H$49</f>
        <v>#VALUE!</v>
      </c>
      <c r="E15" s="208" t="e">
        <f>(IF(ISERR(E7*QCI!$H$7=TRUE),"",E7*QCI!$H$7)+IF(ISERR(E8*QCI!$H$8=TRUE),"",E8*QCI!$H$8)+IF(ISERR(E9*QCI!$H$9=TRUE),"",E9*QCI!$H$9)+IF(ISERR(E10*QCI!$H$10=TRUE),"",E10*QCI!$H$10)+IF(ISERR(E11*QCI!$H$11=TRUE),"",E11*QCI!$H$11)+IF(ISERR(E12*QCI!$H$12=TRUE),"",E12*QCI!$H$12)+IF(ISERR(E13*QCI!$H$13=TRUE),"",E13*QCI!$H$13))/QCI!$H$49</f>
        <v>#VALUE!</v>
      </c>
      <c r="F15" s="207" t="e">
        <f>(IF(ISERR(F7*QCI!$H$7=TRUE),"",F7*QCI!$H$7)+IF(ISERR(F8*QCI!$H$8=TRUE),"",F8*QCI!$H$8)+IF(ISERR(F9*QCI!$H$9=TRUE),"",F9*QCI!$H$9)+IF(ISERR(F10*QCI!$H$10=TRUE),"",F10*QCI!$H$10)+IF(ISERR(F11*QCI!$H$11=TRUE),"",F11*QCI!$H$11)+IF(ISERR(F12*QCI!$H$12=TRUE),"",F12*QCI!$H$12)+IF(ISERR(F13*QCI!$H$13=TRUE),"",F13*QCI!$H$13))/QCI!$H$49</f>
        <v>#VALUE!</v>
      </c>
      <c r="G15" s="208" t="e">
        <f>(IF(ISERR(G7*QCI!$H$7=TRUE),"",G7*QCI!$H$7)+IF(ISERR(G8*QCI!$H$8=TRUE),"",G8*QCI!$H$8)+IF(ISERR(G9*QCI!$H$9=TRUE),"",G9*QCI!$H$9)+IF(ISERR(G10*QCI!$H$10=TRUE),"",G10*QCI!$H$10)+IF(ISERR(G11*QCI!$H$11=TRUE),"",G11*QCI!$H$11)+IF(ISERR(G12*QCI!$H$12=TRUE),"",G12*QCI!$H$12)+IF(ISERR(G13*QCI!$H$13=TRUE),"",G13*QCI!$H$13))/QCI!$H$49</f>
        <v>#VALUE!</v>
      </c>
      <c r="H15" s="207" t="e">
        <f>(IF(ISERR(H7*QCI!$H$7=TRUE),"",H7*QCI!$H$7)+IF(ISERR(H8*QCI!$H$8=TRUE),"",H8*QCI!$H$8)+IF(ISERR(H9*QCI!$H$9=TRUE),"",H9*QCI!$H$9)+IF(ISERR(H10*QCI!$H$10=TRUE),"",H10*QCI!$H$10)+IF(ISERR(H11*QCI!$H$11=TRUE),"",H11*QCI!$H$11)+IF(ISERR(H12*QCI!$H$12=TRUE),"",H12*QCI!$H$12)+IF(ISERR(H13*QCI!$H$13=TRUE),"",H13*QCI!$H$13))/QCI!$H$49</f>
        <v>#VALUE!</v>
      </c>
      <c r="I15" s="208" t="e">
        <f>(IF(ISERR(I7*QCI!$H$7=TRUE),"",I7*QCI!$H$7)+IF(ISERR(I8*QCI!$H$8=TRUE),"",I8*QCI!$H$8)+IF(ISERR(I9*QCI!$H$9=TRUE),"",I9*QCI!$H$9)+IF(ISERR(I10*QCI!$H$10=TRUE),"",I10*QCI!$H$10)+IF(ISERR(I11*QCI!$H$11=TRUE),"",I11*QCI!$H$11)+IF(ISERR(I12*QCI!$H$12=TRUE),"",I12*QCI!$H$12)+IF(ISERR(I13*QCI!$H$13=TRUE),"",I13*QCI!$H$13))/QCI!$H$49</f>
        <v>#VALUE!</v>
      </c>
      <c r="J15" s="207" t="e">
        <f>(IF(ISERR(J7*QCI!$H$7=TRUE),"",J7*QCI!$H$7)+IF(ISERR(J8*QCI!$H$8=TRUE),"",J8*QCI!$H$8)+IF(ISERR(J9*QCI!$H$9=TRUE),"",J9*QCI!$H$9)+IF(ISERR(J10*QCI!$H$10=TRUE),"",J10*QCI!$H$10)+IF(ISERR(J11*QCI!$H$11=TRUE),"",J11*QCI!$H$11)+IF(ISERR(J12*QCI!$H$12=TRUE),"",J12*QCI!$H$12)+IF(ISERR(J13*QCI!$H$13=TRUE),"",J13*QCI!$H$13))/QCI!$H$49</f>
        <v>#VALUE!</v>
      </c>
      <c r="K15" s="208" t="e">
        <f>(IF(ISERR(K7*QCI!$H$7=TRUE),"",K7*QCI!$H$7)+IF(ISERR(K8*QCI!$H$8=TRUE),"",K8*QCI!$H$8)+IF(ISERR(K9*QCI!$H$9=TRUE),"",K9*QCI!$H$9)+IF(ISERR(K10*QCI!$H$10=TRUE),"",K10*QCI!$H$10)+IF(ISERR(K11*QCI!$H$11=TRUE),"",K11*QCI!$H$11)+IF(ISERR(K12*QCI!$H$12=TRUE),"",K12*QCI!$H$12)+IF(ISERR(K13*QCI!$H$13=TRUE),"",K13*QCI!$H$13))/QCI!$H$49</f>
        <v>#VALUE!</v>
      </c>
      <c r="L15" s="207"/>
      <c r="M15" s="208"/>
      <c r="N15" s="207"/>
      <c r="O15" s="208"/>
      <c r="P15" s="207"/>
      <c r="Q15" s="208"/>
      <c r="R15" s="207"/>
      <c r="S15" s="208"/>
      <c r="T15" s="207"/>
      <c r="U15" s="208"/>
      <c r="V15" s="450"/>
      <c r="W15" s="208"/>
      <c r="X15" s="207"/>
      <c r="Y15" s="3"/>
    </row>
    <row r="16" spans="1:25">
      <c r="A16" s="2" t="s">
        <v>404</v>
      </c>
      <c r="B16" s="666" t="e">
        <f>B7*QCI!$H$7+B8*QCI!$H$8+B9*QCI!$H$9+B10*QCI!$H$10+B11*QCI!$H$11+B12*QCI!$H$12++B13*QCI!$H$13</f>
        <v>#REF!</v>
      </c>
      <c r="C16" s="667"/>
      <c r="D16" s="666" t="e">
        <f>D7*QCI!$H$7+D8*QCI!$H$8+D9*QCI!$H$9+D10*QCI!$H$10+D11*QCI!$H$11+D12*QCI!$H$12++D13*QCI!$H$13</f>
        <v>#REF!</v>
      </c>
      <c r="E16" s="667"/>
      <c r="F16" s="666" t="e">
        <f>F7*QCI!$H$7+F8*QCI!$H$8+F9*QCI!$H$9+F10*QCI!$H$10+F11*QCI!$H$11+F12*QCI!$H$12++F13*QCI!$H$13</f>
        <v>#REF!</v>
      </c>
      <c r="G16" s="667"/>
      <c r="H16" s="666" t="e">
        <f>H7*QCI!$H$7+H8*QCI!$H$8+H9*QCI!$H$9+H10*QCI!$H$10+H11*QCI!$H$11+H12*QCI!$H$12++H13*QCI!$H$13</f>
        <v>#REF!</v>
      </c>
      <c r="I16" s="667"/>
      <c r="J16" s="666" t="e">
        <f>J7*QCI!$H$7+J8*QCI!$H$8+J9*QCI!$H$9+J10*QCI!$H$10+J11*QCI!$H$11+J12*QCI!$H$12++J13*QCI!$H$13</f>
        <v>#REF!</v>
      </c>
      <c r="K16" s="667"/>
      <c r="L16" s="668"/>
      <c r="M16" s="657"/>
      <c r="N16" s="668"/>
      <c r="O16" s="657"/>
      <c r="P16" s="668"/>
      <c r="Q16" s="657"/>
      <c r="R16" s="668"/>
      <c r="S16" s="657"/>
      <c r="T16" s="668"/>
      <c r="U16" s="657"/>
      <c r="V16" s="656"/>
      <c r="W16" s="657"/>
      <c r="X16" s="677"/>
      <c r="Y16" s="678"/>
    </row>
    <row r="17" spans="1:25">
      <c r="A17" s="2" t="s">
        <v>389</v>
      </c>
      <c r="B17" s="670" t="e">
        <f>B16</f>
        <v>#REF!</v>
      </c>
      <c r="C17" s="671"/>
      <c r="D17" s="670" t="e">
        <f>B17+D16</f>
        <v>#REF!</v>
      </c>
      <c r="E17" s="671"/>
      <c r="F17" s="670" t="e">
        <f t="shared" ref="F17" si="5">D17+F16</f>
        <v>#REF!</v>
      </c>
      <c r="G17" s="671"/>
      <c r="H17" s="670" t="e">
        <f t="shared" ref="H17" si="6">F17+H16</f>
        <v>#REF!</v>
      </c>
      <c r="I17" s="671"/>
      <c r="J17" s="670" t="e">
        <f t="shared" ref="J17" si="7">H17+J16</f>
        <v>#REF!</v>
      </c>
      <c r="K17" s="671"/>
      <c r="L17" s="672"/>
      <c r="M17" s="673"/>
      <c r="N17" s="672"/>
      <c r="O17" s="673"/>
      <c r="P17" s="672"/>
      <c r="Q17" s="673"/>
      <c r="R17" s="672"/>
      <c r="S17" s="673"/>
      <c r="T17" s="672"/>
      <c r="U17" s="673"/>
      <c r="V17" s="656"/>
      <c r="W17" s="657"/>
      <c r="X17" s="656"/>
      <c r="Y17" s="657"/>
    </row>
    <row r="18" spans="1:25">
      <c r="A18" s="2" t="s">
        <v>405</v>
      </c>
      <c r="B18" s="660" t="e">
        <f>B16/QCI!$H$49</f>
        <v>#REF!</v>
      </c>
      <c r="C18" s="661"/>
      <c r="D18" s="660" t="e">
        <f>D16/QCI!$H$49</f>
        <v>#REF!</v>
      </c>
      <c r="E18" s="661"/>
      <c r="F18" s="660" t="e">
        <f>F16/QCI!$H$49</f>
        <v>#REF!</v>
      </c>
      <c r="G18" s="661"/>
      <c r="H18" s="660" t="e">
        <f>H16/QCI!$H$49</f>
        <v>#REF!</v>
      </c>
      <c r="I18" s="661"/>
      <c r="J18" s="660" t="e">
        <f>J16/QCI!$H$49</f>
        <v>#REF!</v>
      </c>
      <c r="K18" s="661"/>
      <c r="L18" s="658"/>
      <c r="M18" s="659"/>
      <c r="N18" s="658"/>
      <c r="O18" s="659"/>
      <c r="P18" s="658"/>
      <c r="Q18" s="659"/>
      <c r="R18" s="658"/>
      <c r="S18" s="659"/>
      <c r="T18" s="658"/>
      <c r="U18" s="659"/>
      <c r="V18" s="656"/>
      <c r="W18" s="657"/>
      <c r="X18" s="656"/>
      <c r="Y18" s="657"/>
    </row>
    <row r="19" spans="1:25">
      <c r="A19" s="2" t="s">
        <v>390</v>
      </c>
      <c r="B19" s="660" t="e">
        <f>B18</f>
        <v>#REF!</v>
      </c>
      <c r="C19" s="661"/>
      <c r="D19" s="660" t="e">
        <f>D18+B19</f>
        <v>#REF!</v>
      </c>
      <c r="E19" s="661"/>
      <c r="F19" s="660" t="e">
        <f t="shared" ref="F19" si="8">F18+D19</f>
        <v>#REF!</v>
      </c>
      <c r="G19" s="661"/>
      <c r="H19" s="660" t="e">
        <f t="shared" ref="H19" si="9">H18+F19</f>
        <v>#REF!</v>
      </c>
      <c r="I19" s="661"/>
      <c r="J19" s="660" t="e">
        <f t="shared" ref="J19" si="10">J18+H19</f>
        <v>#REF!</v>
      </c>
      <c r="K19" s="661"/>
      <c r="L19" s="658"/>
      <c r="M19" s="659"/>
      <c r="N19" s="658"/>
      <c r="O19" s="659"/>
      <c r="P19" s="658"/>
      <c r="Q19" s="659"/>
      <c r="R19" s="658"/>
      <c r="S19" s="659"/>
      <c r="T19" s="658"/>
      <c r="U19" s="659"/>
      <c r="V19" s="656"/>
      <c r="W19" s="657"/>
      <c r="X19" s="656"/>
      <c r="Y19" s="657"/>
    </row>
    <row r="20" spans="1: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470"/>
      <c r="M20" s="470"/>
      <c r="N20" s="470"/>
      <c r="O20" s="470"/>
      <c r="P20" s="470"/>
      <c r="Q20" s="470"/>
      <c r="R20" s="470"/>
      <c r="S20" s="470"/>
      <c r="T20" s="470"/>
      <c r="U20" s="470"/>
      <c r="V20" s="470"/>
      <c r="W20" s="470"/>
      <c r="X20" s="470"/>
      <c r="Y20" s="471"/>
    </row>
    <row r="21" spans="1: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19"/>
    </row>
    <row r="22" spans="1:25">
      <c r="A22" s="6"/>
      <c r="B22" s="44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19"/>
    </row>
    <row r="23" spans="1:25">
      <c r="A23" s="6"/>
      <c r="B23" s="1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5"/>
      <c r="U23" s="7"/>
      <c r="V23" s="7"/>
      <c r="W23" s="7"/>
      <c r="X23" s="7"/>
      <c r="Y23" s="19"/>
    </row>
    <row r="24" spans="1:25">
      <c r="A24" s="6"/>
      <c r="B24" s="1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19"/>
    </row>
    <row r="25" spans="1:2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19"/>
    </row>
    <row r="26" spans="1: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19"/>
    </row>
    <row r="27" spans="1: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19"/>
    </row>
    <row r="28" spans="1:2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19"/>
    </row>
    <row r="29" spans="1:2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19"/>
    </row>
    <row r="30" spans="1: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19"/>
    </row>
    <row r="31" spans="1:2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19"/>
    </row>
    <row r="32" spans="1:2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19"/>
    </row>
    <row r="33" spans="1: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19"/>
    </row>
    <row r="34" spans="1:2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19"/>
    </row>
    <row r="35" spans="1:2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19"/>
    </row>
    <row r="36" spans="1: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19"/>
    </row>
    <row r="37" spans="1:25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19"/>
    </row>
    <row r="38" spans="1: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19"/>
    </row>
    <row r="39" spans="1:2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19"/>
    </row>
    <row r="40" spans="1:25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9"/>
    </row>
    <row r="41" spans="1:2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19"/>
    </row>
    <row r="42" spans="1:25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19"/>
    </row>
    <row r="43" spans="1:2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19"/>
    </row>
    <row r="44" spans="1:25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19"/>
    </row>
    <row r="45" spans="1:2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19"/>
    </row>
    <row r="46" spans="1:2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19"/>
    </row>
    <row r="47" spans="1:25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19"/>
    </row>
    <row r="48" spans="1:25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19"/>
    </row>
    <row r="49" spans="1:2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19"/>
    </row>
    <row r="50" spans="1:2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19"/>
    </row>
    <row r="51" spans="1: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19"/>
    </row>
    <row r="52" spans="1: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19"/>
    </row>
    <row r="53" spans="1:2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19"/>
    </row>
    <row r="54" spans="1:2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19"/>
    </row>
    <row r="55" spans="1: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19"/>
    </row>
    <row r="56" spans="1:25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19"/>
    </row>
    <row r="57" spans="1: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19"/>
    </row>
    <row r="58" spans="1:2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19"/>
    </row>
    <row r="59" spans="1:25">
      <c r="A59" s="6"/>
      <c r="B59" s="14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669"/>
      <c r="W59" s="669"/>
      <c r="X59" s="669"/>
      <c r="Y59" s="19"/>
    </row>
    <row r="60" spans="1:2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2"/>
      <c r="X60" s="12"/>
      <c r="Y60" s="20"/>
    </row>
  </sheetData>
  <mergeCells count="70">
    <mergeCell ref="R2:U2"/>
    <mergeCell ref="X18:Y18"/>
    <mergeCell ref="L18:M18"/>
    <mergeCell ref="N18:O18"/>
    <mergeCell ref="P18:Q18"/>
    <mergeCell ref="R18:S18"/>
    <mergeCell ref="T18:U18"/>
    <mergeCell ref="V18:W18"/>
    <mergeCell ref="P16:Q16"/>
    <mergeCell ref="R16:S16"/>
    <mergeCell ref="T16:U16"/>
    <mergeCell ref="V16:W16"/>
    <mergeCell ref="X16:Y16"/>
    <mergeCell ref="R5:S5"/>
    <mergeCell ref="V59:X59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B19:C19"/>
    <mergeCell ref="B18:C18"/>
    <mergeCell ref="D18:E18"/>
    <mergeCell ref="F18:G18"/>
    <mergeCell ref="H18:I18"/>
    <mergeCell ref="J18:K18"/>
    <mergeCell ref="N5:O5"/>
    <mergeCell ref="P5:Q5"/>
    <mergeCell ref="J5:K5"/>
    <mergeCell ref="L16:M16"/>
    <mergeCell ref="N16:O16"/>
    <mergeCell ref="B16:C16"/>
    <mergeCell ref="D16:E16"/>
    <mergeCell ref="F16:G16"/>
    <mergeCell ref="H16:I16"/>
    <mergeCell ref="J16:K16"/>
    <mergeCell ref="A1:A3"/>
    <mergeCell ref="V3:Y3"/>
    <mergeCell ref="A5:A6"/>
    <mergeCell ref="B5:C5"/>
    <mergeCell ref="D5:E5"/>
    <mergeCell ref="F5:G5"/>
    <mergeCell ref="H5:I5"/>
    <mergeCell ref="X5:Y5"/>
    <mergeCell ref="T5:U5"/>
    <mergeCell ref="V5:W5"/>
    <mergeCell ref="B1:Y1"/>
    <mergeCell ref="V2:Y2"/>
    <mergeCell ref="N2:Q2"/>
    <mergeCell ref="B3:U3"/>
    <mergeCell ref="B2:M2"/>
    <mergeCell ref="L5:M5"/>
    <mergeCell ref="D19:E19"/>
    <mergeCell ref="F19:G19"/>
    <mergeCell ref="H19:I19"/>
    <mergeCell ref="J19:K19"/>
    <mergeCell ref="L19:M19"/>
    <mergeCell ref="X19:Y19"/>
    <mergeCell ref="N19:O19"/>
    <mergeCell ref="P19:Q19"/>
    <mergeCell ref="R19:S19"/>
    <mergeCell ref="T19:U19"/>
    <mergeCell ref="V19:W1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4" orientation="landscape" r:id="rId1"/>
  <headerFooter>
    <oddFooter>&amp;CEng° Darcio Pagani Vieira
Crea/SC - 077.222-9</oddFooter>
  </headerFooter>
  <ignoredErrors>
    <ignoredError sqref="B1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view="pageBreakPreview" zoomScale="115" zoomScaleNormal="100" zoomScaleSheetLayoutView="115" workbookViewId="0">
      <pane ySplit="4" topLeftCell="A26" activePane="bottomLeft" state="frozen"/>
      <selection activeCell="C19" sqref="C19"/>
      <selection pane="bottomLeft" activeCell="C19" sqref="C19"/>
    </sheetView>
  </sheetViews>
  <sheetFormatPr defaultRowHeight="15"/>
  <cols>
    <col min="1" max="1" width="12" style="81" customWidth="1"/>
    <col min="2" max="2" width="1.85546875" style="81" bestFit="1" customWidth="1"/>
    <col min="3" max="3" width="6.42578125" style="139" bestFit="1" customWidth="1"/>
    <col min="4" max="5" width="11" style="139" customWidth="1"/>
    <col min="6" max="7" width="11" style="81" customWidth="1"/>
    <col min="8" max="9" width="11" customWidth="1"/>
    <col min="10" max="10" width="22.28515625" customWidth="1"/>
  </cols>
  <sheetData>
    <row r="1" spans="1:11" s="25" customFormat="1" ht="33" customHeight="1">
      <c r="A1" s="684"/>
      <c r="B1" s="683" t="s">
        <v>410</v>
      </c>
      <c r="C1" s="683"/>
      <c r="D1" s="683"/>
      <c r="E1" s="683"/>
      <c r="F1" s="683"/>
      <c r="G1" s="683"/>
      <c r="H1" s="683"/>
      <c r="I1" s="683"/>
      <c r="J1" s="683"/>
      <c r="K1" s="140"/>
    </row>
    <row r="2" spans="1:11" s="25" customFormat="1" ht="12.75" customHeight="1">
      <c r="A2" s="684"/>
      <c r="B2" s="689" t="str">
        <f>PAVIM.!G2</f>
        <v>PREFEITURA MUNICIPAL DE MARACAJÁ</v>
      </c>
      <c r="C2" s="689"/>
      <c r="D2" s="689"/>
      <c r="E2" s="689"/>
      <c r="F2" s="689" t="str">
        <f>PAVIM.!H2</f>
        <v>BAIRRO: ESPIGÃO GRANDE</v>
      </c>
      <c r="G2" s="689"/>
      <c r="H2" s="690" t="str">
        <f>PAVIM.!K2</f>
        <v>MUNICIPIO: MARACAJÁ</v>
      </c>
      <c r="I2" s="690"/>
      <c r="J2" s="534" t="str">
        <f>PAVIM.!M2</f>
        <v>ESTADO: SANTA CATARINA</v>
      </c>
    </row>
    <row r="3" spans="1:11" s="25" customFormat="1" ht="12.75" customHeight="1">
      <c r="A3" s="684"/>
      <c r="B3" s="685" t="str">
        <f>PAVIM.!G3</f>
        <v>RUA PARANÁ - TRECHO 01</v>
      </c>
      <c r="C3" s="686"/>
      <c r="D3" s="686"/>
      <c r="E3" s="686"/>
      <c r="F3" s="686"/>
      <c r="G3" s="686"/>
      <c r="H3" s="686"/>
      <c r="I3" s="687"/>
      <c r="J3" s="241" t="str">
        <f ca="1">PAVIM.!M3</f>
        <v>DATA: 12/08/26</v>
      </c>
    </row>
    <row r="4" spans="1:11" ht="24.75" customHeight="1">
      <c r="A4" s="688" t="s">
        <v>150</v>
      </c>
      <c r="B4" s="688"/>
      <c r="C4" s="688"/>
      <c r="D4" s="163" t="s">
        <v>157</v>
      </c>
      <c r="E4" s="164" t="s">
        <v>159</v>
      </c>
      <c r="F4" s="163" t="s">
        <v>158</v>
      </c>
      <c r="G4" s="163" t="s">
        <v>160</v>
      </c>
      <c r="H4" s="164" t="s">
        <v>161</v>
      </c>
      <c r="I4" s="163" t="s">
        <v>158</v>
      </c>
      <c r="J4" s="163" t="s">
        <v>162</v>
      </c>
      <c r="K4" s="76"/>
    </row>
    <row r="5" spans="1:11" s="173" customFormat="1" ht="12.95" customHeight="1">
      <c r="A5" s="388">
        <v>0</v>
      </c>
      <c r="B5" s="388" t="s">
        <v>41</v>
      </c>
      <c r="C5" s="165">
        <v>0</v>
      </c>
      <c r="D5" s="165"/>
      <c r="E5" s="416">
        <v>0.54400000000000004</v>
      </c>
      <c r="F5" s="414"/>
      <c r="G5" s="414">
        <f t="shared" ref="G5:G51" si="0">TRUNC(F5*D5,3)</f>
        <v>0</v>
      </c>
      <c r="H5" s="414">
        <v>0</v>
      </c>
      <c r="I5" s="414"/>
      <c r="J5" s="414">
        <f t="shared" ref="J5:J51" si="1">TRUNC(I5*D5,3)</f>
        <v>0</v>
      </c>
    </row>
    <row r="6" spans="1:11" s="173" customFormat="1" ht="12.95" customHeight="1">
      <c r="A6" s="388">
        <v>0</v>
      </c>
      <c r="B6" s="388" t="s">
        <v>41</v>
      </c>
      <c r="C6" s="165">
        <v>0.71</v>
      </c>
      <c r="D6" s="165">
        <f t="shared" ref="D6:D51" si="2">((A6*20+C6)-(A5*20+C5))/2</f>
        <v>0.35499999999999998</v>
      </c>
      <c r="E6" s="416">
        <v>0.39700000000000002</v>
      </c>
      <c r="F6" s="414">
        <f t="shared" ref="F6:F51" si="3">E6+E5</f>
        <v>0.94100000000000006</v>
      </c>
      <c r="G6" s="414">
        <f t="shared" si="0"/>
        <v>0.33400000000000002</v>
      </c>
      <c r="H6" s="414">
        <v>0.01</v>
      </c>
      <c r="I6" s="414">
        <f t="shared" ref="I6:I51" si="4">H6+H5</f>
        <v>0.01</v>
      </c>
      <c r="J6" s="414">
        <f t="shared" si="1"/>
        <v>3.0000000000000001E-3</v>
      </c>
    </row>
    <row r="7" spans="1:11" s="173" customFormat="1" ht="12.95" customHeight="1">
      <c r="A7" s="388">
        <v>0</v>
      </c>
      <c r="B7" s="388" t="s">
        <v>41</v>
      </c>
      <c r="C7" s="165">
        <v>10.952</v>
      </c>
      <c r="D7" s="165">
        <f t="shared" si="2"/>
        <v>5.1210000000000004</v>
      </c>
      <c r="E7" s="416">
        <v>0.98599999999999999</v>
      </c>
      <c r="F7" s="414">
        <f t="shared" si="3"/>
        <v>1.383</v>
      </c>
      <c r="G7" s="414">
        <f t="shared" si="0"/>
        <v>7.0819999999999999</v>
      </c>
      <c r="H7" s="414">
        <v>0</v>
      </c>
      <c r="I7" s="414">
        <f t="shared" si="4"/>
        <v>0.01</v>
      </c>
      <c r="J7" s="414">
        <f t="shared" si="1"/>
        <v>5.0999999999999997E-2</v>
      </c>
    </row>
    <row r="8" spans="1:11" s="173" customFormat="1" ht="12.95" customHeight="1">
      <c r="A8" s="388">
        <v>1</v>
      </c>
      <c r="B8" s="388" t="s">
        <v>41</v>
      </c>
      <c r="C8" s="165">
        <v>0</v>
      </c>
      <c r="D8" s="165">
        <f t="shared" si="2"/>
        <v>4.524</v>
      </c>
      <c r="E8" s="416">
        <v>0.70499999999999996</v>
      </c>
      <c r="F8" s="414">
        <f t="shared" si="3"/>
        <v>1.6909999999999998</v>
      </c>
      <c r="G8" s="414">
        <f t="shared" si="0"/>
        <v>7.65</v>
      </c>
      <c r="H8" s="414">
        <v>2.1000000000000001E-2</v>
      </c>
      <c r="I8" s="414">
        <f t="shared" si="4"/>
        <v>2.1000000000000001E-2</v>
      </c>
      <c r="J8" s="414">
        <f t="shared" si="1"/>
        <v>9.5000000000000001E-2</v>
      </c>
    </row>
    <row r="9" spans="1:11" s="173" customFormat="1" ht="12.95" customHeight="1">
      <c r="A9" s="388">
        <v>1</v>
      </c>
      <c r="B9" s="388" t="s">
        <v>41</v>
      </c>
      <c r="C9" s="165">
        <v>6</v>
      </c>
      <c r="D9" s="165">
        <f t="shared" si="2"/>
        <v>3</v>
      </c>
      <c r="E9" s="416">
        <v>1.119</v>
      </c>
      <c r="F9" s="414">
        <f t="shared" si="3"/>
        <v>1.8239999999999998</v>
      </c>
      <c r="G9" s="414">
        <f t="shared" si="0"/>
        <v>5.4720000000000004</v>
      </c>
      <c r="H9" s="414">
        <v>2.7E-2</v>
      </c>
      <c r="I9" s="414">
        <f t="shared" si="4"/>
        <v>4.8000000000000001E-2</v>
      </c>
      <c r="J9" s="414">
        <f t="shared" si="1"/>
        <v>0.14399999999999999</v>
      </c>
    </row>
    <row r="10" spans="1:11" s="173" customFormat="1" ht="12.95" customHeight="1">
      <c r="A10" s="388">
        <v>2</v>
      </c>
      <c r="B10" s="388" t="s">
        <v>41</v>
      </c>
      <c r="C10" s="165">
        <v>0</v>
      </c>
      <c r="D10" s="165">
        <f t="shared" si="2"/>
        <v>7</v>
      </c>
      <c r="E10" s="416">
        <v>0.38900000000000001</v>
      </c>
      <c r="F10" s="414">
        <f t="shared" si="3"/>
        <v>1.508</v>
      </c>
      <c r="G10" s="414">
        <f t="shared" si="0"/>
        <v>10.555999999999999</v>
      </c>
      <c r="H10" s="414">
        <v>1.2999999999999999E-2</v>
      </c>
      <c r="I10" s="414">
        <f t="shared" si="4"/>
        <v>0.04</v>
      </c>
      <c r="J10" s="414">
        <f t="shared" si="1"/>
        <v>0.28000000000000003</v>
      </c>
    </row>
    <row r="11" spans="1:11" s="173" customFormat="1" ht="12.95" customHeight="1">
      <c r="A11" s="388">
        <v>3</v>
      </c>
      <c r="B11" s="388" t="s">
        <v>41</v>
      </c>
      <c r="C11" s="165">
        <v>0</v>
      </c>
      <c r="D11" s="165">
        <f t="shared" si="2"/>
        <v>10</v>
      </c>
      <c r="E11" s="416">
        <v>0.129</v>
      </c>
      <c r="F11" s="414">
        <f t="shared" si="3"/>
        <v>0.51800000000000002</v>
      </c>
      <c r="G11" s="414">
        <f t="shared" si="0"/>
        <v>5.18</v>
      </c>
      <c r="H11" s="414">
        <v>2.5999999999999999E-2</v>
      </c>
      <c r="I11" s="414">
        <f t="shared" si="4"/>
        <v>3.9E-2</v>
      </c>
      <c r="J11" s="414">
        <f t="shared" si="1"/>
        <v>0.39</v>
      </c>
    </row>
    <row r="12" spans="1:11" s="173" customFormat="1" ht="12.95" customHeight="1">
      <c r="A12" s="388">
        <v>3</v>
      </c>
      <c r="B12" s="388" t="s">
        <v>41</v>
      </c>
      <c r="C12" s="165">
        <v>15</v>
      </c>
      <c r="D12" s="165">
        <f t="shared" si="2"/>
        <v>7.5</v>
      </c>
      <c r="E12" s="416">
        <v>0.27200000000000002</v>
      </c>
      <c r="F12" s="414">
        <f t="shared" si="3"/>
        <v>0.40100000000000002</v>
      </c>
      <c r="G12" s="414">
        <f t="shared" si="0"/>
        <v>3.0070000000000001</v>
      </c>
      <c r="H12" s="414">
        <v>8.0000000000000002E-3</v>
      </c>
      <c r="I12" s="414">
        <f t="shared" si="4"/>
        <v>3.4000000000000002E-2</v>
      </c>
      <c r="J12" s="414">
        <f t="shared" si="1"/>
        <v>0.255</v>
      </c>
    </row>
    <row r="13" spans="1:11" s="173" customFormat="1" ht="12.95" customHeight="1">
      <c r="A13" s="388">
        <v>4</v>
      </c>
      <c r="B13" s="388" t="s">
        <v>41</v>
      </c>
      <c r="C13" s="165">
        <v>0</v>
      </c>
      <c r="D13" s="165">
        <f t="shared" si="2"/>
        <v>2.5</v>
      </c>
      <c r="E13" s="416">
        <v>0.307</v>
      </c>
      <c r="F13" s="414">
        <f t="shared" si="3"/>
        <v>0.57899999999999996</v>
      </c>
      <c r="G13" s="414">
        <f t="shared" si="0"/>
        <v>1.4470000000000001</v>
      </c>
      <c r="H13" s="414">
        <v>2.1000000000000001E-2</v>
      </c>
      <c r="I13" s="414">
        <f t="shared" si="4"/>
        <v>2.9000000000000001E-2</v>
      </c>
      <c r="J13" s="414">
        <f t="shared" si="1"/>
        <v>7.1999999999999995E-2</v>
      </c>
    </row>
    <row r="14" spans="1:11" s="173" customFormat="1" ht="12.95" customHeight="1">
      <c r="A14" s="388">
        <v>5</v>
      </c>
      <c r="B14" s="388" t="s">
        <v>41</v>
      </c>
      <c r="C14" s="165">
        <v>0</v>
      </c>
      <c r="D14" s="165">
        <f t="shared" si="2"/>
        <v>10</v>
      </c>
      <c r="E14" s="416">
        <v>0.48</v>
      </c>
      <c r="F14" s="414">
        <f t="shared" si="3"/>
        <v>0.78699999999999992</v>
      </c>
      <c r="G14" s="414">
        <f t="shared" si="0"/>
        <v>7.87</v>
      </c>
      <c r="H14" s="414">
        <v>2.9000000000000001E-2</v>
      </c>
      <c r="I14" s="414">
        <f t="shared" si="4"/>
        <v>0.05</v>
      </c>
      <c r="J14" s="414">
        <f t="shared" si="1"/>
        <v>0.5</v>
      </c>
    </row>
    <row r="15" spans="1:11" s="173" customFormat="1" ht="12.95" customHeight="1">
      <c r="A15" s="388">
        <v>5</v>
      </c>
      <c r="B15" s="388" t="s">
        <v>41</v>
      </c>
      <c r="C15" s="165">
        <v>15</v>
      </c>
      <c r="D15" s="165">
        <f t="shared" si="2"/>
        <v>7.5</v>
      </c>
      <c r="E15" s="168">
        <v>0.95799999999999996</v>
      </c>
      <c r="F15" s="414">
        <f t="shared" si="3"/>
        <v>1.4379999999999999</v>
      </c>
      <c r="G15" s="414">
        <f t="shared" si="0"/>
        <v>10.785</v>
      </c>
      <c r="H15" s="414">
        <v>0</v>
      </c>
      <c r="I15" s="414">
        <f t="shared" si="4"/>
        <v>2.9000000000000001E-2</v>
      </c>
      <c r="J15" s="414">
        <f t="shared" si="1"/>
        <v>0.217</v>
      </c>
    </row>
    <row r="16" spans="1:11" s="173" customFormat="1" ht="12.95" customHeight="1">
      <c r="A16" s="388">
        <v>6</v>
      </c>
      <c r="B16" s="388" t="s">
        <v>41</v>
      </c>
      <c r="C16" s="165">
        <v>0</v>
      </c>
      <c r="D16" s="165">
        <f t="shared" si="2"/>
        <v>2.5</v>
      </c>
      <c r="E16" s="168">
        <v>0.91300000000000003</v>
      </c>
      <c r="F16" s="414">
        <f t="shared" si="3"/>
        <v>1.871</v>
      </c>
      <c r="G16" s="414">
        <f t="shared" si="0"/>
        <v>4.6769999999999996</v>
      </c>
      <c r="H16" s="414">
        <v>0</v>
      </c>
      <c r="I16" s="414">
        <f t="shared" si="4"/>
        <v>0</v>
      </c>
      <c r="J16" s="414">
        <f t="shared" si="1"/>
        <v>0</v>
      </c>
    </row>
    <row r="17" spans="1:10" s="173" customFormat="1" ht="12.95" customHeight="1">
      <c r="A17" s="388">
        <v>7</v>
      </c>
      <c r="B17" s="388" t="s">
        <v>41</v>
      </c>
      <c r="C17" s="165">
        <v>0</v>
      </c>
      <c r="D17" s="165">
        <f t="shared" si="2"/>
        <v>10</v>
      </c>
      <c r="E17" s="168">
        <v>0.64100000000000001</v>
      </c>
      <c r="F17" s="414">
        <f t="shared" si="3"/>
        <v>1.554</v>
      </c>
      <c r="G17" s="414">
        <f t="shared" si="0"/>
        <v>15.54</v>
      </c>
      <c r="H17" s="414">
        <v>0</v>
      </c>
      <c r="I17" s="414">
        <f t="shared" si="4"/>
        <v>0</v>
      </c>
      <c r="J17" s="414">
        <f t="shared" si="1"/>
        <v>0</v>
      </c>
    </row>
    <row r="18" spans="1:10" s="173" customFormat="1" ht="12.95" customHeight="1">
      <c r="A18" s="388">
        <v>8</v>
      </c>
      <c r="B18" s="388" t="s">
        <v>41</v>
      </c>
      <c r="C18" s="165">
        <v>0</v>
      </c>
      <c r="D18" s="165">
        <f t="shared" si="2"/>
        <v>10</v>
      </c>
      <c r="E18" s="168">
        <v>1.165</v>
      </c>
      <c r="F18" s="414">
        <f t="shared" si="3"/>
        <v>1.806</v>
      </c>
      <c r="G18" s="414">
        <f t="shared" si="0"/>
        <v>18.059999999999999</v>
      </c>
      <c r="H18" s="414">
        <v>0</v>
      </c>
      <c r="I18" s="414">
        <f t="shared" si="4"/>
        <v>0</v>
      </c>
      <c r="J18" s="414">
        <f t="shared" si="1"/>
        <v>0</v>
      </c>
    </row>
    <row r="19" spans="1:10" s="173" customFormat="1" ht="12.95" customHeight="1">
      <c r="A19" s="388">
        <v>9</v>
      </c>
      <c r="B19" s="388" t="s">
        <v>41</v>
      </c>
      <c r="C19" s="165">
        <v>0</v>
      </c>
      <c r="D19" s="165">
        <f t="shared" si="2"/>
        <v>10</v>
      </c>
      <c r="E19" s="168">
        <v>3.6999999999999998E-2</v>
      </c>
      <c r="F19" s="414">
        <f t="shared" si="3"/>
        <v>1.202</v>
      </c>
      <c r="G19" s="414">
        <f t="shared" si="0"/>
        <v>12.02</v>
      </c>
      <c r="H19" s="414">
        <v>0.67</v>
      </c>
      <c r="I19" s="414">
        <f t="shared" si="4"/>
        <v>0.67</v>
      </c>
      <c r="J19" s="414">
        <f t="shared" si="1"/>
        <v>6.7</v>
      </c>
    </row>
    <row r="20" spans="1:10" s="173" customFormat="1" ht="12.95" customHeight="1">
      <c r="A20" s="388">
        <v>10</v>
      </c>
      <c r="B20" s="388" t="s">
        <v>41</v>
      </c>
      <c r="C20" s="165">
        <v>0</v>
      </c>
      <c r="D20" s="165">
        <f t="shared" si="2"/>
        <v>10</v>
      </c>
      <c r="E20" s="168">
        <v>4.1000000000000002E-2</v>
      </c>
      <c r="F20" s="414">
        <f t="shared" si="3"/>
        <v>7.8E-2</v>
      </c>
      <c r="G20" s="414">
        <f t="shared" si="0"/>
        <v>0.78</v>
      </c>
      <c r="H20" s="414">
        <v>0.25600000000000001</v>
      </c>
      <c r="I20" s="414">
        <f t="shared" si="4"/>
        <v>0.92600000000000005</v>
      </c>
      <c r="J20" s="414">
        <f t="shared" si="1"/>
        <v>9.26</v>
      </c>
    </row>
    <row r="21" spans="1:10" s="173" customFormat="1" ht="12.95" customHeight="1">
      <c r="A21" s="388">
        <v>11</v>
      </c>
      <c r="B21" s="388" t="s">
        <v>41</v>
      </c>
      <c r="C21" s="165">
        <v>0</v>
      </c>
      <c r="D21" s="165">
        <f t="shared" si="2"/>
        <v>10</v>
      </c>
      <c r="E21" s="168">
        <v>0.312</v>
      </c>
      <c r="F21" s="414">
        <f t="shared" si="3"/>
        <v>0.35299999999999998</v>
      </c>
      <c r="G21" s="414">
        <f t="shared" si="0"/>
        <v>3.53</v>
      </c>
      <c r="H21" s="414">
        <v>0.66300000000000003</v>
      </c>
      <c r="I21" s="414">
        <f t="shared" si="4"/>
        <v>0.91900000000000004</v>
      </c>
      <c r="J21" s="414">
        <f t="shared" si="1"/>
        <v>9.19</v>
      </c>
    </row>
    <row r="22" spans="1:10" s="173" customFormat="1" ht="12.95" customHeight="1">
      <c r="A22" s="388">
        <v>11</v>
      </c>
      <c r="B22" s="388" t="s">
        <v>41</v>
      </c>
      <c r="C22" s="165">
        <v>10</v>
      </c>
      <c r="D22" s="165">
        <f t="shared" si="2"/>
        <v>5</v>
      </c>
      <c r="E22" s="168">
        <v>0.28699999999999998</v>
      </c>
      <c r="F22" s="414">
        <f t="shared" si="3"/>
        <v>0.59899999999999998</v>
      </c>
      <c r="G22" s="414">
        <f t="shared" si="0"/>
        <v>2.9950000000000001</v>
      </c>
      <c r="H22" s="414">
        <v>0.58099999999999996</v>
      </c>
      <c r="I22" s="414">
        <f t="shared" si="4"/>
        <v>1.244</v>
      </c>
      <c r="J22" s="414">
        <f t="shared" si="1"/>
        <v>6.22</v>
      </c>
    </row>
    <row r="23" spans="1:10" s="173" customFormat="1" ht="12.95" customHeight="1">
      <c r="A23" s="388">
        <v>12</v>
      </c>
      <c r="B23" s="388" t="s">
        <v>41</v>
      </c>
      <c r="C23" s="165">
        <v>0</v>
      </c>
      <c r="D23" s="165">
        <f t="shared" si="2"/>
        <v>5</v>
      </c>
      <c r="E23" s="168">
        <v>0.46400000000000002</v>
      </c>
      <c r="F23" s="414">
        <f t="shared" si="3"/>
        <v>0.751</v>
      </c>
      <c r="G23" s="414">
        <f t="shared" si="0"/>
        <v>3.7549999999999999</v>
      </c>
      <c r="H23" s="414">
        <v>0.68500000000000005</v>
      </c>
      <c r="I23" s="414">
        <f t="shared" si="4"/>
        <v>1.266</v>
      </c>
      <c r="J23" s="414">
        <f t="shared" si="1"/>
        <v>6.33</v>
      </c>
    </row>
    <row r="24" spans="1:10" s="173" customFormat="1" ht="12.95" customHeight="1">
      <c r="A24" s="388">
        <v>13</v>
      </c>
      <c r="B24" s="388" t="s">
        <v>41</v>
      </c>
      <c r="C24" s="165">
        <v>0</v>
      </c>
      <c r="D24" s="165">
        <f t="shared" si="2"/>
        <v>10</v>
      </c>
      <c r="E24" s="168">
        <v>0.70899999999999996</v>
      </c>
      <c r="F24" s="414">
        <f t="shared" si="3"/>
        <v>1.173</v>
      </c>
      <c r="G24" s="414">
        <f t="shared" si="0"/>
        <v>11.73</v>
      </c>
      <c r="H24" s="414">
        <v>0.65100000000000002</v>
      </c>
      <c r="I24" s="414">
        <f t="shared" si="4"/>
        <v>1.3360000000000001</v>
      </c>
      <c r="J24" s="414">
        <f t="shared" si="1"/>
        <v>13.36</v>
      </c>
    </row>
    <row r="25" spans="1:10" s="173" customFormat="1" ht="12.95" customHeight="1">
      <c r="A25" s="388">
        <v>14</v>
      </c>
      <c r="B25" s="388" t="s">
        <v>41</v>
      </c>
      <c r="C25" s="165">
        <v>0</v>
      </c>
      <c r="D25" s="165">
        <f t="shared" si="2"/>
        <v>10</v>
      </c>
      <c r="E25" s="416">
        <v>0.78800000000000003</v>
      </c>
      <c r="F25" s="414">
        <f t="shared" si="3"/>
        <v>1.4969999999999999</v>
      </c>
      <c r="G25" s="414">
        <f t="shared" si="0"/>
        <v>14.97</v>
      </c>
      <c r="H25" s="414">
        <v>0.753</v>
      </c>
      <c r="I25" s="414">
        <f t="shared" si="4"/>
        <v>1.4039999999999999</v>
      </c>
      <c r="J25" s="414">
        <f t="shared" si="1"/>
        <v>14.04</v>
      </c>
    </row>
    <row r="26" spans="1:10" s="173" customFormat="1" ht="12.95" customHeight="1">
      <c r="A26" s="388">
        <v>15</v>
      </c>
      <c r="B26" s="388" t="s">
        <v>41</v>
      </c>
      <c r="C26" s="165">
        <v>0</v>
      </c>
      <c r="D26" s="165">
        <f t="shared" si="2"/>
        <v>10</v>
      </c>
      <c r="E26" s="416">
        <v>0.94199999999999995</v>
      </c>
      <c r="F26" s="414">
        <f t="shared" si="3"/>
        <v>1.73</v>
      </c>
      <c r="G26" s="414">
        <f t="shared" si="0"/>
        <v>17.3</v>
      </c>
      <c r="H26" s="414">
        <v>5.1999999999999998E-2</v>
      </c>
      <c r="I26" s="414">
        <f t="shared" si="4"/>
        <v>0.80500000000000005</v>
      </c>
      <c r="J26" s="414">
        <f t="shared" si="1"/>
        <v>8.0500000000000007</v>
      </c>
    </row>
    <row r="27" spans="1:10" s="173" customFormat="1" ht="12.95" customHeight="1">
      <c r="A27" s="388">
        <v>16</v>
      </c>
      <c r="B27" s="388" t="s">
        <v>41</v>
      </c>
      <c r="C27" s="165">
        <v>0</v>
      </c>
      <c r="D27" s="165">
        <f t="shared" si="2"/>
        <v>10</v>
      </c>
      <c r="E27" s="416">
        <v>0.86</v>
      </c>
      <c r="F27" s="414">
        <f t="shared" si="3"/>
        <v>1.802</v>
      </c>
      <c r="G27" s="414">
        <f t="shared" si="0"/>
        <v>18.02</v>
      </c>
      <c r="H27" s="414">
        <v>8.0000000000000002E-3</v>
      </c>
      <c r="I27" s="414">
        <f t="shared" si="4"/>
        <v>0.06</v>
      </c>
      <c r="J27" s="414">
        <f t="shared" si="1"/>
        <v>0.6</v>
      </c>
    </row>
    <row r="28" spans="1:10" s="173" customFormat="1" ht="12.95" customHeight="1">
      <c r="A28" s="388">
        <v>17</v>
      </c>
      <c r="B28" s="388" t="s">
        <v>41</v>
      </c>
      <c r="C28" s="165">
        <v>0</v>
      </c>
      <c r="D28" s="165">
        <f t="shared" si="2"/>
        <v>10</v>
      </c>
      <c r="E28" s="416">
        <v>0.63500000000000001</v>
      </c>
      <c r="F28" s="414">
        <f t="shared" si="3"/>
        <v>1.4950000000000001</v>
      </c>
      <c r="G28" s="414">
        <f t="shared" si="0"/>
        <v>14.95</v>
      </c>
      <c r="H28" s="414">
        <v>0.372</v>
      </c>
      <c r="I28" s="414">
        <f t="shared" si="4"/>
        <v>0.38</v>
      </c>
      <c r="J28" s="414">
        <f t="shared" si="1"/>
        <v>3.8</v>
      </c>
    </row>
    <row r="29" spans="1:10" s="173" customFormat="1" ht="12.95" customHeight="1">
      <c r="A29" s="388">
        <v>18</v>
      </c>
      <c r="B29" s="388" t="s">
        <v>41</v>
      </c>
      <c r="C29" s="165">
        <v>0</v>
      </c>
      <c r="D29" s="165">
        <f t="shared" si="2"/>
        <v>10</v>
      </c>
      <c r="E29" s="416">
        <v>0.35099999999999998</v>
      </c>
      <c r="F29" s="414">
        <f t="shared" si="3"/>
        <v>0.98599999999999999</v>
      </c>
      <c r="G29" s="414">
        <f t="shared" si="0"/>
        <v>9.86</v>
      </c>
      <c r="H29" s="414">
        <v>0.218</v>
      </c>
      <c r="I29" s="414">
        <f t="shared" si="4"/>
        <v>0.59</v>
      </c>
      <c r="J29" s="414">
        <f t="shared" si="1"/>
        <v>5.9</v>
      </c>
    </row>
    <row r="30" spans="1:10" s="173" customFormat="1" ht="12.95" customHeight="1">
      <c r="A30" s="388">
        <v>19</v>
      </c>
      <c r="B30" s="388" t="s">
        <v>41</v>
      </c>
      <c r="C30" s="165">
        <v>0</v>
      </c>
      <c r="D30" s="165">
        <f t="shared" si="2"/>
        <v>10</v>
      </c>
      <c r="E30" s="416">
        <v>0.77500000000000002</v>
      </c>
      <c r="F30" s="414">
        <f t="shared" si="3"/>
        <v>1.1259999999999999</v>
      </c>
      <c r="G30" s="414">
        <f t="shared" si="0"/>
        <v>11.26</v>
      </c>
      <c r="H30" s="414">
        <v>0.10299999999999999</v>
      </c>
      <c r="I30" s="414">
        <f t="shared" si="4"/>
        <v>0.32100000000000001</v>
      </c>
      <c r="J30" s="414">
        <f t="shared" si="1"/>
        <v>3.21</v>
      </c>
    </row>
    <row r="31" spans="1:10" s="173" customFormat="1" ht="12.95" customHeight="1">
      <c r="A31" s="388">
        <v>19</v>
      </c>
      <c r="B31" s="388" t="s">
        <v>41</v>
      </c>
      <c r="C31" s="165">
        <v>10</v>
      </c>
      <c r="D31" s="165">
        <f t="shared" si="2"/>
        <v>5</v>
      </c>
      <c r="E31" s="416">
        <v>0.52400000000000002</v>
      </c>
      <c r="F31" s="414">
        <f t="shared" si="3"/>
        <v>1.2989999999999999</v>
      </c>
      <c r="G31" s="414">
        <f t="shared" si="0"/>
        <v>6.4950000000000001</v>
      </c>
      <c r="H31" s="414">
        <v>9.6000000000000002E-2</v>
      </c>
      <c r="I31" s="414">
        <f t="shared" si="4"/>
        <v>0.19900000000000001</v>
      </c>
      <c r="J31" s="414">
        <f t="shared" si="1"/>
        <v>0.995</v>
      </c>
    </row>
    <row r="32" spans="1:10" s="173" customFormat="1" ht="12.95" customHeight="1">
      <c r="A32" s="388">
        <v>19</v>
      </c>
      <c r="B32" s="388" t="s">
        <v>41</v>
      </c>
      <c r="C32" s="165">
        <v>17</v>
      </c>
      <c r="D32" s="165">
        <f t="shared" si="2"/>
        <v>3.5</v>
      </c>
      <c r="E32" s="416">
        <v>1.35</v>
      </c>
      <c r="F32" s="414">
        <f t="shared" si="3"/>
        <v>1.8740000000000001</v>
      </c>
      <c r="G32" s="414">
        <f t="shared" si="0"/>
        <v>6.5590000000000002</v>
      </c>
      <c r="H32" s="414">
        <v>8.5000000000000006E-2</v>
      </c>
      <c r="I32" s="414">
        <f t="shared" si="4"/>
        <v>0.18099999999999999</v>
      </c>
      <c r="J32" s="414">
        <f t="shared" si="1"/>
        <v>0.63300000000000001</v>
      </c>
    </row>
    <row r="33" spans="1:10" s="173" customFormat="1" ht="12.95" customHeight="1">
      <c r="A33" s="388">
        <v>20</v>
      </c>
      <c r="B33" s="388" t="s">
        <v>41</v>
      </c>
      <c r="C33" s="165">
        <v>0</v>
      </c>
      <c r="D33" s="165">
        <f t="shared" si="2"/>
        <v>1.5</v>
      </c>
      <c r="E33" s="168">
        <v>1.3959999999999999</v>
      </c>
      <c r="F33" s="414">
        <f t="shared" si="3"/>
        <v>2.746</v>
      </c>
      <c r="G33" s="414">
        <f t="shared" si="0"/>
        <v>4.1189999999999998</v>
      </c>
      <c r="H33" s="414">
        <v>6.9000000000000006E-2</v>
      </c>
      <c r="I33" s="414">
        <f t="shared" si="4"/>
        <v>0.15400000000000003</v>
      </c>
      <c r="J33" s="414">
        <f t="shared" si="1"/>
        <v>0.23100000000000001</v>
      </c>
    </row>
    <row r="34" spans="1:10" s="173" customFormat="1" ht="12.95" customHeight="1">
      <c r="A34" s="388">
        <v>21</v>
      </c>
      <c r="B34" s="388" t="s">
        <v>41</v>
      </c>
      <c r="C34" s="165">
        <v>0</v>
      </c>
      <c r="D34" s="165">
        <f t="shared" si="2"/>
        <v>10</v>
      </c>
      <c r="E34" s="168">
        <v>2.6669999999999998</v>
      </c>
      <c r="F34" s="414">
        <f t="shared" si="3"/>
        <v>4.0629999999999997</v>
      </c>
      <c r="G34" s="414">
        <f t="shared" si="0"/>
        <v>40.630000000000003</v>
      </c>
      <c r="H34" s="414">
        <v>0</v>
      </c>
      <c r="I34" s="414">
        <f t="shared" si="4"/>
        <v>6.9000000000000006E-2</v>
      </c>
      <c r="J34" s="414">
        <f t="shared" si="1"/>
        <v>0.69</v>
      </c>
    </row>
    <row r="35" spans="1:10" s="173" customFormat="1" ht="12.95" customHeight="1">
      <c r="A35" s="388">
        <v>22</v>
      </c>
      <c r="B35" s="388" t="s">
        <v>41</v>
      </c>
      <c r="C35" s="165">
        <v>0</v>
      </c>
      <c r="D35" s="165">
        <f t="shared" si="2"/>
        <v>10</v>
      </c>
      <c r="E35" s="168">
        <v>2.3239999999999998</v>
      </c>
      <c r="F35" s="414">
        <f t="shared" si="3"/>
        <v>4.9909999999999997</v>
      </c>
      <c r="G35" s="414">
        <f t="shared" si="0"/>
        <v>49.91</v>
      </c>
      <c r="H35" s="414">
        <v>0</v>
      </c>
      <c r="I35" s="414">
        <f t="shared" si="4"/>
        <v>0</v>
      </c>
      <c r="J35" s="414">
        <f t="shared" si="1"/>
        <v>0</v>
      </c>
    </row>
    <row r="36" spans="1:10" s="173" customFormat="1" ht="12.95" customHeight="1">
      <c r="A36" s="388">
        <v>22</v>
      </c>
      <c r="B36" s="388" t="s">
        <v>41</v>
      </c>
      <c r="C36" s="165">
        <v>1.0629999999999999</v>
      </c>
      <c r="D36" s="165">
        <f t="shared" si="2"/>
        <v>0.53149999999999409</v>
      </c>
      <c r="E36" s="168">
        <v>2.1190000000000002</v>
      </c>
      <c r="F36" s="414">
        <f t="shared" si="3"/>
        <v>4.4429999999999996</v>
      </c>
      <c r="G36" s="414">
        <f t="shared" si="0"/>
        <v>2.3610000000000002</v>
      </c>
      <c r="H36" s="414">
        <v>0</v>
      </c>
      <c r="I36" s="414">
        <f t="shared" si="4"/>
        <v>0</v>
      </c>
      <c r="J36" s="414">
        <f t="shared" si="1"/>
        <v>0</v>
      </c>
    </row>
    <row r="37" spans="1:10" s="173" customFormat="1" ht="12.95" customHeight="1">
      <c r="A37" s="388">
        <v>22</v>
      </c>
      <c r="B37" s="388" t="s">
        <v>41</v>
      </c>
      <c r="C37" s="165">
        <v>17</v>
      </c>
      <c r="D37" s="165">
        <f t="shared" si="2"/>
        <v>7.9685000000000059</v>
      </c>
      <c r="E37" s="168">
        <v>0.373</v>
      </c>
      <c r="F37" s="414">
        <f t="shared" si="3"/>
        <v>2.492</v>
      </c>
      <c r="G37" s="414">
        <f t="shared" si="0"/>
        <v>19.856999999999999</v>
      </c>
      <c r="H37" s="414">
        <v>0.17</v>
      </c>
      <c r="I37" s="414">
        <f t="shared" si="4"/>
        <v>0.17</v>
      </c>
      <c r="J37" s="414">
        <f t="shared" si="1"/>
        <v>1.3540000000000001</v>
      </c>
    </row>
    <row r="38" spans="1:10" s="173" customFormat="1" ht="12.95" customHeight="1">
      <c r="A38" s="388">
        <v>22</v>
      </c>
      <c r="B38" s="388" t="s">
        <v>41</v>
      </c>
      <c r="C38" s="165">
        <v>19.869</v>
      </c>
      <c r="D38" s="165">
        <f t="shared" si="2"/>
        <v>1.4345000000000141</v>
      </c>
      <c r="E38" s="168">
        <v>0.312</v>
      </c>
      <c r="F38" s="414">
        <f t="shared" si="3"/>
        <v>0.68500000000000005</v>
      </c>
      <c r="G38" s="414">
        <f t="shared" si="0"/>
        <v>0.98199999999999998</v>
      </c>
      <c r="H38" s="414">
        <v>0.26</v>
      </c>
      <c r="I38" s="414">
        <f t="shared" si="4"/>
        <v>0.43000000000000005</v>
      </c>
      <c r="J38" s="414">
        <f t="shared" si="1"/>
        <v>0.61599999999999999</v>
      </c>
    </row>
    <row r="39" spans="1:10" s="173" customFormat="1" ht="12.95" customHeight="1">
      <c r="A39" s="388">
        <v>23</v>
      </c>
      <c r="B39" s="388" t="s">
        <v>41</v>
      </c>
      <c r="C39" s="165">
        <v>0</v>
      </c>
      <c r="D39" s="165">
        <f t="shared" si="2"/>
        <v>6.5499999999985903E-2</v>
      </c>
      <c r="E39" s="168">
        <v>0.312</v>
      </c>
      <c r="F39" s="414">
        <f t="shared" si="3"/>
        <v>0.624</v>
      </c>
      <c r="G39" s="414">
        <f t="shared" si="0"/>
        <v>0.04</v>
      </c>
      <c r="H39" s="414">
        <v>0.26400000000000001</v>
      </c>
      <c r="I39" s="414">
        <f t="shared" si="4"/>
        <v>0.52400000000000002</v>
      </c>
      <c r="J39" s="414">
        <f t="shared" si="1"/>
        <v>3.4000000000000002E-2</v>
      </c>
    </row>
    <row r="40" spans="1:10" s="173" customFormat="1" ht="12.95" customHeight="1">
      <c r="A40" s="388">
        <v>23</v>
      </c>
      <c r="B40" s="388" t="s">
        <v>41</v>
      </c>
      <c r="C40" s="165">
        <v>4.3099999999999996</v>
      </c>
      <c r="D40" s="165">
        <f t="shared" si="2"/>
        <v>2.1550000000000011</v>
      </c>
      <c r="E40" s="168">
        <v>0.36599999999999999</v>
      </c>
      <c r="F40" s="414">
        <f t="shared" si="3"/>
        <v>0.67799999999999994</v>
      </c>
      <c r="G40" s="414">
        <f t="shared" si="0"/>
        <v>1.4610000000000001</v>
      </c>
      <c r="H40" s="414">
        <v>0.191</v>
      </c>
      <c r="I40" s="414">
        <f t="shared" si="4"/>
        <v>0.45500000000000002</v>
      </c>
      <c r="J40" s="414">
        <f t="shared" si="1"/>
        <v>0.98</v>
      </c>
    </row>
    <row r="41" spans="1:10" s="173" customFormat="1" ht="12.95" customHeight="1">
      <c r="A41" s="388">
        <v>23</v>
      </c>
      <c r="B41" s="388" t="s">
        <v>41</v>
      </c>
      <c r="C41" s="165">
        <v>13.432</v>
      </c>
      <c r="D41" s="165">
        <f t="shared" si="2"/>
        <v>4.561000000000007</v>
      </c>
      <c r="E41" s="168">
        <v>0.502</v>
      </c>
      <c r="F41" s="414">
        <f t="shared" si="3"/>
        <v>0.86799999999999999</v>
      </c>
      <c r="G41" s="414">
        <f t="shared" si="0"/>
        <v>3.9580000000000002</v>
      </c>
      <c r="H41" s="414">
        <v>2.4E-2</v>
      </c>
      <c r="I41" s="414">
        <f t="shared" si="4"/>
        <v>0.215</v>
      </c>
      <c r="J41" s="414">
        <f t="shared" si="1"/>
        <v>0.98</v>
      </c>
    </row>
    <row r="42" spans="1:10" s="173" customFormat="1" ht="12.95" customHeight="1">
      <c r="A42" s="388">
        <v>24</v>
      </c>
      <c r="B42" s="388" t="s">
        <v>41</v>
      </c>
      <c r="C42" s="165">
        <v>0</v>
      </c>
      <c r="D42" s="165">
        <f t="shared" si="2"/>
        <v>3.2839999999999918</v>
      </c>
      <c r="E42" s="168">
        <v>0.64500000000000002</v>
      </c>
      <c r="F42" s="414">
        <f t="shared" si="3"/>
        <v>1.147</v>
      </c>
      <c r="G42" s="414">
        <f t="shared" si="0"/>
        <v>3.766</v>
      </c>
      <c r="H42" s="414">
        <v>0</v>
      </c>
      <c r="I42" s="414">
        <f t="shared" si="4"/>
        <v>2.4E-2</v>
      </c>
      <c r="J42" s="414">
        <f t="shared" si="1"/>
        <v>7.8E-2</v>
      </c>
    </row>
    <row r="43" spans="1:10" s="173" customFormat="1" ht="12.95" customHeight="1">
      <c r="A43" s="388">
        <v>25</v>
      </c>
      <c r="B43" s="388" t="s">
        <v>41</v>
      </c>
      <c r="C43" s="165">
        <v>0</v>
      </c>
      <c r="D43" s="165">
        <f t="shared" si="2"/>
        <v>10</v>
      </c>
      <c r="E43" s="168">
        <v>0.78900000000000003</v>
      </c>
      <c r="F43" s="414">
        <f t="shared" si="3"/>
        <v>1.4340000000000002</v>
      </c>
      <c r="G43" s="414">
        <f t="shared" si="0"/>
        <v>14.34</v>
      </c>
      <c r="H43" s="414">
        <v>0</v>
      </c>
      <c r="I43" s="414">
        <f t="shared" si="4"/>
        <v>0</v>
      </c>
      <c r="J43" s="414">
        <f t="shared" si="1"/>
        <v>0</v>
      </c>
    </row>
    <row r="44" spans="1:10" s="173" customFormat="1" ht="12.95" customHeight="1">
      <c r="A44" s="388">
        <v>26</v>
      </c>
      <c r="B44" s="388" t="s">
        <v>41</v>
      </c>
      <c r="C44" s="165">
        <v>0</v>
      </c>
      <c r="D44" s="165">
        <f t="shared" si="2"/>
        <v>10</v>
      </c>
      <c r="E44" s="416">
        <v>0.76900000000000002</v>
      </c>
      <c r="F44" s="414">
        <f t="shared" si="3"/>
        <v>1.5580000000000001</v>
      </c>
      <c r="G44" s="414">
        <f t="shared" si="0"/>
        <v>15.58</v>
      </c>
      <c r="H44" s="414">
        <v>0</v>
      </c>
      <c r="I44" s="414">
        <f t="shared" si="4"/>
        <v>0</v>
      </c>
      <c r="J44" s="414">
        <f t="shared" si="1"/>
        <v>0</v>
      </c>
    </row>
    <row r="45" spans="1:10" s="173" customFormat="1" ht="12.95" customHeight="1">
      <c r="A45" s="388">
        <v>26</v>
      </c>
      <c r="B45" s="388" t="s">
        <v>41</v>
      </c>
      <c r="C45" s="165">
        <v>17.445</v>
      </c>
      <c r="D45" s="165">
        <f t="shared" si="2"/>
        <v>8.722500000000025</v>
      </c>
      <c r="E45" s="416">
        <v>0.96299999999999997</v>
      </c>
      <c r="F45" s="414">
        <f t="shared" si="3"/>
        <v>1.732</v>
      </c>
      <c r="G45" s="414">
        <f t="shared" si="0"/>
        <v>15.106999999999999</v>
      </c>
      <c r="H45" s="414">
        <v>0</v>
      </c>
      <c r="I45" s="414">
        <f t="shared" si="4"/>
        <v>0</v>
      </c>
      <c r="J45" s="414">
        <f t="shared" si="1"/>
        <v>0</v>
      </c>
    </row>
    <row r="46" spans="1:10" s="173" customFormat="1" ht="12.95" customHeight="1">
      <c r="A46" s="388">
        <v>27</v>
      </c>
      <c r="B46" s="388" t="s">
        <v>41</v>
      </c>
      <c r="C46" s="165">
        <v>0</v>
      </c>
      <c r="D46" s="165">
        <f t="shared" si="2"/>
        <v>1.277499999999975</v>
      </c>
      <c r="E46" s="416">
        <v>0.878</v>
      </c>
      <c r="F46" s="414">
        <f t="shared" si="3"/>
        <v>1.841</v>
      </c>
      <c r="G46" s="414">
        <f t="shared" si="0"/>
        <v>2.351</v>
      </c>
      <c r="H46" s="414">
        <v>0</v>
      </c>
      <c r="I46" s="414">
        <f t="shared" si="4"/>
        <v>0</v>
      </c>
      <c r="J46" s="414">
        <f t="shared" si="1"/>
        <v>0</v>
      </c>
    </row>
    <row r="47" spans="1:10" s="173" customFormat="1" ht="12.95" customHeight="1">
      <c r="A47" s="388">
        <v>28</v>
      </c>
      <c r="B47" s="388" t="s">
        <v>41</v>
      </c>
      <c r="C47" s="165">
        <v>0</v>
      </c>
      <c r="D47" s="165">
        <f t="shared" si="2"/>
        <v>10</v>
      </c>
      <c r="E47" s="416">
        <v>0.48099999999999998</v>
      </c>
      <c r="F47" s="414">
        <f t="shared" si="3"/>
        <v>1.359</v>
      </c>
      <c r="G47" s="414">
        <f t="shared" si="0"/>
        <v>13.59</v>
      </c>
      <c r="H47" s="414">
        <v>1.9E-2</v>
      </c>
      <c r="I47" s="414">
        <f t="shared" si="4"/>
        <v>1.9E-2</v>
      </c>
      <c r="J47" s="414">
        <f t="shared" si="1"/>
        <v>0.19</v>
      </c>
    </row>
    <row r="48" spans="1:10" s="173" customFormat="1" ht="12.95" customHeight="1">
      <c r="A48" s="388">
        <v>28</v>
      </c>
      <c r="B48" s="388" t="s">
        <v>41</v>
      </c>
      <c r="C48" s="165">
        <v>16.114000000000001</v>
      </c>
      <c r="D48" s="165">
        <f t="shared" si="2"/>
        <v>8.0570000000000164</v>
      </c>
      <c r="E48" s="416">
        <v>0.01</v>
      </c>
      <c r="F48" s="414">
        <f t="shared" si="3"/>
        <v>0.49099999999999999</v>
      </c>
      <c r="G48" s="414">
        <f t="shared" si="0"/>
        <v>3.9550000000000001</v>
      </c>
      <c r="H48" s="414">
        <v>0.97099999999999997</v>
      </c>
      <c r="I48" s="414">
        <f t="shared" si="4"/>
        <v>0.99</v>
      </c>
      <c r="J48" s="414">
        <f t="shared" si="1"/>
        <v>7.976</v>
      </c>
    </row>
    <row r="49" spans="1:10" s="173" customFormat="1" ht="12.95" customHeight="1">
      <c r="A49" s="388">
        <v>29</v>
      </c>
      <c r="B49" s="388" t="s">
        <v>41</v>
      </c>
      <c r="C49" s="165">
        <v>0</v>
      </c>
      <c r="D49" s="165">
        <f t="shared" si="2"/>
        <v>1.9429999999999836</v>
      </c>
      <c r="E49" s="416">
        <v>1E-3</v>
      </c>
      <c r="F49" s="414">
        <f t="shared" si="3"/>
        <v>1.0999999999999999E-2</v>
      </c>
      <c r="G49" s="414">
        <f t="shared" si="0"/>
        <v>2.1000000000000001E-2</v>
      </c>
      <c r="H49" s="414">
        <v>1.1619999999999999</v>
      </c>
      <c r="I49" s="414">
        <f t="shared" si="4"/>
        <v>2.133</v>
      </c>
      <c r="J49" s="414">
        <f t="shared" si="1"/>
        <v>4.1440000000000001</v>
      </c>
    </row>
    <row r="50" spans="1:10" s="173" customFormat="1" ht="12.95" customHeight="1">
      <c r="A50" s="388">
        <v>29</v>
      </c>
      <c r="B50" s="388" t="s">
        <v>41</v>
      </c>
      <c r="C50" s="165">
        <v>3.7589999999999999</v>
      </c>
      <c r="D50" s="165">
        <f t="shared" si="2"/>
        <v>1.8795000000000073</v>
      </c>
      <c r="E50" s="168">
        <v>0</v>
      </c>
      <c r="F50" s="414">
        <f t="shared" si="3"/>
        <v>1E-3</v>
      </c>
      <c r="G50" s="414">
        <f t="shared" si="0"/>
        <v>1E-3</v>
      </c>
      <c r="H50" s="414">
        <v>1.34</v>
      </c>
      <c r="I50" s="414">
        <f t="shared" si="4"/>
        <v>2.5019999999999998</v>
      </c>
      <c r="J50" s="414">
        <f t="shared" si="1"/>
        <v>4.702</v>
      </c>
    </row>
    <row r="51" spans="1:10" s="173" customFormat="1" ht="12.95" customHeight="1">
      <c r="A51" s="388">
        <v>30</v>
      </c>
      <c r="B51" s="388" t="s">
        <v>41</v>
      </c>
      <c r="C51" s="165">
        <v>0</v>
      </c>
      <c r="D51" s="165">
        <f t="shared" si="2"/>
        <v>8.1204999999999927</v>
      </c>
      <c r="E51" s="168">
        <v>4.9720000000000004</v>
      </c>
      <c r="F51" s="414">
        <f t="shared" si="3"/>
        <v>4.9720000000000004</v>
      </c>
      <c r="G51" s="414">
        <f t="shared" si="0"/>
        <v>40.375</v>
      </c>
      <c r="H51" s="414">
        <v>0</v>
      </c>
      <c r="I51" s="414">
        <f t="shared" si="4"/>
        <v>1.34</v>
      </c>
      <c r="J51" s="414">
        <f t="shared" si="1"/>
        <v>10.881</v>
      </c>
    </row>
    <row r="52" spans="1:10" s="173" customFormat="1" ht="12.95" customHeight="1">
      <c r="A52" s="209"/>
      <c r="B52" s="166"/>
      <c r="C52" s="167"/>
      <c r="D52" s="167"/>
      <c r="E52" s="167"/>
      <c r="F52" s="166"/>
      <c r="G52" s="168">
        <f>SUM(G5:G51)</f>
        <v>464.28799999999995</v>
      </c>
      <c r="H52" s="167"/>
      <c r="I52" s="166"/>
      <c r="J52" s="168">
        <f>SUM(J5:J51)</f>
        <v>123.151</v>
      </c>
    </row>
    <row r="53" spans="1:10" s="173" customFormat="1" ht="12.95" customHeight="1">
      <c r="A53" s="480"/>
      <c r="B53" s="169"/>
      <c r="C53" s="170"/>
      <c r="D53" s="170"/>
      <c r="E53" s="170"/>
      <c r="F53" s="169"/>
      <c r="G53" s="169"/>
      <c r="H53" s="170"/>
      <c r="I53" s="169"/>
      <c r="J53" s="481"/>
    </row>
    <row r="54" spans="1:10" s="173" customFormat="1" ht="12.95" customHeight="1">
      <c r="A54" s="682" t="s">
        <v>250</v>
      </c>
      <c r="B54" s="682"/>
      <c r="C54" s="682"/>
      <c r="D54" s="682"/>
      <c r="E54" s="682"/>
      <c r="F54" s="682"/>
      <c r="G54" s="682"/>
      <c r="H54" s="682"/>
      <c r="I54" s="168">
        <f>G52</f>
        <v>464.28799999999995</v>
      </c>
      <c r="J54" s="482"/>
    </row>
    <row r="55" spans="1:10" s="173" customFormat="1" ht="12.95" customHeight="1">
      <c r="A55" s="682" t="s">
        <v>251</v>
      </c>
      <c r="B55" s="682"/>
      <c r="C55" s="682"/>
      <c r="D55" s="682"/>
      <c r="E55" s="682"/>
      <c r="F55" s="682"/>
      <c r="G55" s="682"/>
      <c r="H55" s="682"/>
      <c r="I55" s="168">
        <f>J52</f>
        <v>123.151</v>
      </c>
      <c r="J55" s="482"/>
    </row>
    <row r="56" spans="1:10" s="173" customFormat="1" ht="12.95" customHeight="1">
      <c r="A56" s="682" t="s">
        <v>398</v>
      </c>
      <c r="B56" s="682"/>
      <c r="C56" s="682"/>
      <c r="D56" s="682"/>
      <c r="E56" s="682"/>
      <c r="F56" s="682"/>
      <c r="G56" s="682"/>
      <c r="H56" s="682"/>
      <c r="I56" s="168">
        <f>I54-I55</f>
        <v>341.13699999999994</v>
      </c>
      <c r="J56" s="482"/>
    </row>
    <row r="57" spans="1:10">
      <c r="A57" s="483"/>
      <c r="B57" s="8"/>
      <c r="C57" s="484"/>
      <c r="D57" s="484"/>
      <c r="E57" s="484"/>
      <c r="F57" s="8"/>
      <c r="G57" s="8"/>
      <c r="H57" s="7"/>
      <c r="I57" s="7"/>
      <c r="J57" s="19"/>
    </row>
    <row r="58" spans="1:10" s="173" customFormat="1">
      <c r="A58" s="483"/>
      <c r="B58" s="8"/>
      <c r="C58" s="484"/>
      <c r="D58" s="484"/>
      <c r="E58" s="484"/>
      <c r="F58" s="8"/>
      <c r="G58" s="8"/>
      <c r="H58" s="7"/>
      <c r="I58" s="7"/>
      <c r="J58" s="19"/>
    </row>
    <row r="59" spans="1:10" s="173" customFormat="1">
      <c r="A59" s="483"/>
      <c r="B59" s="8"/>
      <c r="C59" s="484"/>
      <c r="D59" s="484"/>
      <c r="E59" s="484"/>
      <c r="F59" s="8"/>
      <c r="G59" s="8"/>
      <c r="H59" s="7"/>
      <c r="I59" s="7"/>
      <c r="J59" s="19"/>
    </row>
    <row r="60" spans="1:10" s="173" customFormat="1">
      <c r="A60" s="483"/>
      <c r="B60" s="8"/>
      <c r="C60" s="484"/>
      <c r="D60" s="484"/>
      <c r="E60" s="484"/>
      <c r="F60" s="8"/>
      <c r="G60" s="8"/>
      <c r="H60" s="7"/>
      <c r="I60" s="7"/>
      <c r="J60" s="19"/>
    </row>
    <row r="61" spans="1:10" s="173" customFormat="1">
      <c r="A61" s="483"/>
      <c r="B61" s="8"/>
      <c r="C61" s="484"/>
      <c r="D61" s="484"/>
      <c r="E61" s="484"/>
      <c r="F61" s="8"/>
      <c r="G61" s="8"/>
      <c r="H61" s="7"/>
      <c r="I61" s="7"/>
      <c r="J61" s="19"/>
    </row>
    <row r="62" spans="1:10" s="173" customFormat="1">
      <c r="A62" s="483"/>
      <c r="B62" s="8"/>
      <c r="C62" s="484"/>
      <c r="D62" s="484"/>
      <c r="E62" s="484"/>
      <c r="F62" s="8"/>
      <c r="G62" s="8"/>
      <c r="H62" s="7"/>
      <c r="I62" s="7"/>
      <c r="J62" s="19"/>
    </row>
    <row r="63" spans="1:10" s="173" customFormat="1">
      <c r="A63" s="483"/>
      <c r="B63" s="8"/>
      <c r="C63" s="484"/>
      <c r="D63" s="484"/>
      <c r="E63" s="484"/>
      <c r="F63" s="8"/>
      <c r="G63" s="8"/>
      <c r="H63" s="7"/>
      <c r="I63" s="7"/>
      <c r="J63" s="19"/>
    </row>
    <row r="64" spans="1:10" s="173" customFormat="1">
      <c r="A64" s="483"/>
      <c r="B64" s="8"/>
      <c r="C64" s="484"/>
      <c r="D64" s="484"/>
      <c r="E64" s="484"/>
      <c r="F64" s="8"/>
      <c r="G64" s="8"/>
      <c r="H64" s="7"/>
      <c r="I64" s="7"/>
      <c r="J64" s="19"/>
    </row>
    <row r="65" spans="1:10" s="173" customFormat="1">
      <c r="A65" s="483"/>
      <c r="B65" s="8"/>
      <c r="C65" s="484"/>
      <c r="D65" s="484"/>
      <c r="E65" s="484"/>
      <c r="F65" s="8"/>
      <c r="G65" s="8"/>
      <c r="H65" s="7"/>
      <c r="I65" s="7"/>
      <c r="J65" s="19"/>
    </row>
    <row r="66" spans="1:10" ht="18.75">
      <c r="A66" s="679"/>
      <c r="B66" s="680"/>
      <c r="C66" s="680"/>
      <c r="D66" s="680"/>
      <c r="E66" s="680"/>
      <c r="F66" s="680"/>
      <c r="G66" s="680"/>
      <c r="H66" s="680"/>
      <c r="I66" s="680"/>
      <c r="J66" s="681"/>
    </row>
  </sheetData>
  <mergeCells count="11">
    <mergeCell ref="A66:J66"/>
    <mergeCell ref="A56:H56"/>
    <mergeCell ref="A54:H54"/>
    <mergeCell ref="A55:H55"/>
    <mergeCell ref="B1:J1"/>
    <mergeCell ref="A1:A3"/>
    <mergeCell ref="B3:I3"/>
    <mergeCell ref="A4:C4"/>
    <mergeCell ref="F2:G2"/>
    <mergeCell ref="H2:I2"/>
    <mergeCell ref="B2:E2"/>
  </mergeCells>
  <printOptions horizontalCentered="1"/>
  <pageMargins left="0.51181102362204722" right="0.51181102362204722" top="0.59055118110236227" bottom="0.39370078740157483" header="0.31496062992125984" footer="0.11811023622047245"/>
  <pageSetup paperSize="9" scale="81" orientation="portrait" r:id="rId1"/>
  <headerFooter>
    <oddFooter>&amp;CEng° Darcio Pagani Vieira
Crea/SC - 077.222-9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7"/>
  <sheetViews>
    <sheetView showGridLines="0" view="pageBreakPreview" zoomScaleNormal="100" zoomScaleSheetLayoutView="100" workbookViewId="0">
      <selection activeCell="F10" sqref="F10"/>
    </sheetView>
  </sheetViews>
  <sheetFormatPr defaultRowHeight="12.75"/>
  <cols>
    <col min="1" max="1" width="6.28515625" style="82" customWidth="1"/>
    <col min="2" max="2" width="6.5703125" style="82" bestFit="1" customWidth="1"/>
    <col min="3" max="3" width="9" style="82" customWidth="1"/>
    <col min="4" max="4" width="9.28515625" style="82" customWidth="1"/>
    <col min="5" max="5" width="8.5703125" style="82" customWidth="1"/>
    <col min="6" max="6" width="11.140625" style="82" customWidth="1"/>
    <col min="7" max="7" width="8" style="82" bestFit="1" customWidth="1"/>
    <col min="8" max="8" width="5.28515625" style="82" customWidth="1"/>
    <col min="9" max="9" width="8" style="82" bestFit="1" customWidth="1"/>
    <col min="10" max="10" width="8.42578125" style="82" customWidth="1"/>
    <col min="11" max="11" width="20.140625" style="82" customWidth="1"/>
    <col min="12" max="12" width="5.7109375" style="82" bestFit="1" customWidth="1"/>
    <col min="13" max="256" width="9.140625" style="82"/>
    <col min="257" max="257" width="6.28515625" style="82" customWidth="1"/>
    <col min="258" max="258" width="6.5703125" style="82" bestFit="1" customWidth="1"/>
    <col min="259" max="259" width="9" style="82" customWidth="1"/>
    <col min="260" max="260" width="9.28515625" style="82" customWidth="1"/>
    <col min="261" max="261" width="8.5703125" style="82" customWidth="1"/>
    <col min="262" max="262" width="11.140625" style="82" customWidth="1"/>
    <col min="263" max="263" width="8" style="82" bestFit="1" customWidth="1"/>
    <col min="264" max="264" width="5.28515625" style="82" customWidth="1"/>
    <col min="265" max="265" width="8" style="82" bestFit="1" customWidth="1"/>
    <col min="266" max="266" width="8.42578125" style="82" customWidth="1"/>
    <col min="267" max="267" width="20.140625" style="82" customWidth="1"/>
    <col min="268" max="268" width="5.7109375" style="82" bestFit="1" customWidth="1"/>
    <col min="269" max="512" width="9.140625" style="82"/>
    <col min="513" max="513" width="6.28515625" style="82" customWidth="1"/>
    <col min="514" max="514" width="6.5703125" style="82" bestFit="1" customWidth="1"/>
    <col min="515" max="515" width="9" style="82" customWidth="1"/>
    <col min="516" max="516" width="9.28515625" style="82" customWidth="1"/>
    <col min="517" max="517" width="8.5703125" style="82" customWidth="1"/>
    <col min="518" max="518" width="11.140625" style="82" customWidth="1"/>
    <col min="519" max="519" width="8" style="82" bestFit="1" customWidth="1"/>
    <col min="520" max="520" width="5.28515625" style="82" customWidth="1"/>
    <col min="521" max="521" width="8" style="82" bestFit="1" customWidth="1"/>
    <col min="522" max="522" width="8.42578125" style="82" customWidth="1"/>
    <col min="523" max="523" width="20.140625" style="82" customWidth="1"/>
    <col min="524" max="524" width="5.7109375" style="82" bestFit="1" customWidth="1"/>
    <col min="525" max="768" width="9.140625" style="82"/>
    <col min="769" max="769" width="6.28515625" style="82" customWidth="1"/>
    <col min="770" max="770" width="6.5703125" style="82" bestFit="1" customWidth="1"/>
    <col min="771" max="771" width="9" style="82" customWidth="1"/>
    <col min="772" max="772" width="9.28515625" style="82" customWidth="1"/>
    <col min="773" max="773" width="8.5703125" style="82" customWidth="1"/>
    <col min="774" max="774" width="11.140625" style="82" customWidth="1"/>
    <col min="775" max="775" width="8" style="82" bestFit="1" customWidth="1"/>
    <col min="776" max="776" width="5.28515625" style="82" customWidth="1"/>
    <col min="777" max="777" width="8" style="82" bestFit="1" customWidth="1"/>
    <col min="778" max="778" width="8.42578125" style="82" customWidth="1"/>
    <col min="779" max="779" width="20.140625" style="82" customWidth="1"/>
    <col min="780" max="780" width="5.7109375" style="82" bestFit="1" customWidth="1"/>
    <col min="781" max="1024" width="9.140625" style="82"/>
    <col min="1025" max="1025" width="6.28515625" style="82" customWidth="1"/>
    <col min="1026" max="1026" width="6.5703125" style="82" bestFit="1" customWidth="1"/>
    <col min="1027" max="1027" width="9" style="82" customWidth="1"/>
    <col min="1028" max="1028" width="9.28515625" style="82" customWidth="1"/>
    <col min="1029" max="1029" width="8.5703125" style="82" customWidth="1"/>
    <col min="1030" max="1030" width="11.140625" style="82" customWidth="1"/>
    <col min="1031" max="1031" width="8" style="82" bestFit="1" customWidth="1"/>
    <col min="1032" max="1032" width="5.28515625" style="82" customWidth="1"/>
    <col min="1033" max="1033" width="8" style="82" bestFit="1" customWidth="1"/>
    <col min="1034" max="1034" width="8.42578125" style="82" customWidth="1"/>
    <col min="1035" max="1035" width="20.140625" style="82" customWidth="1"/>
    <col min="1036" max="1036" width="5.7109375" style="82" bestFit="1" customWidth="1"/>
    <col min="1037" max="1280" width="9.140625" style="82"/>
    <col min="1281" max="1281" width="6.28515625" style="82" customWidth="1"/>
    <col min="1282" max="1282" width="6.5703125" style="82" bestFit="1" customWidth="1"/>
    <col min="1283" max="1283" width="9" style="82" customWidth="1"/>
    <col min="1284" max="1284" width="9.28515625" style="82" customWidth="1"/>
    <col min="1285" max="1285" width="8.5703125" style="82" customWidth="1"/>
    <col min="1286" max="1286" width="11.140625" style="82" customWidth="1"/>
    <col min="1287" max="1287" width="8" style="82" bestFit="1" customWidth="1"/>
    <col min="1288" max="1288" width="5.28515625" style="82" customWidth="1"/>
    <col min="1289" max="1289" width="8" style="82" bestFit="1" customWidth="1"/>
    <col min="1290" max="1290" width="8.42578125" style="82" customWidth="1"/>
    <col min="1291" max="1291" width="20.140625" style="82" customWidth="1"/>
    <col min="1292" max="1292" width="5.7109375" style="82" bestFit="1" customWidth="1"/>
    <col min="1293" max="1536" width="9.140625" style="82"/>
    <col min="1537" max="1537" width="6.28515625" style="82" customWidth="1"/>
    <col min="1538" max="1538" width="6.5703125" style="82" bestFit="1" customWidth="1"/>
    <col min="1539" max="1539" width="9" style="82" customWidth="1"/>
    <col min="1540" max="1540" width="9.28515625" style="82" customWidth="1"/>
    <col min="1541" max="1541" width="8.5703125" style="82" customWidth="1"/>
    <col min="1542" max="1542" width="11.140625" style="82" customWidth="1"/>
    <col min="1543" max="1543" width="8" style="82" bestFit="1" customWidth="1"/>
    <col min="1544" max="1544" width="5.28515625" style="82" customWidth="1"/>
    <col min="1545" max="1545" width="8" style="82" bestFit="1" customWidth="1"/>
    <col min="1546" max="1546" width="8.42578125" style="82" customWidth="1"/>
    <col min="1547" max="1547" width="20.140625" style="82" customWidth="1"/>
    <col min="1548" max="1548" width="5.7109375" style="82" bestFit="1" customWidth="1"/>
    <col min="1549" max="1792" width="9.140625" style="82"/>
    <col min="1793" max="1793" width="6.28515625" style="82" customWidth="1"/>
    <col min="1794" max="1794" width="6.5703125" style="82" bestFit="1" customWidth="1"/>
    <col min="1795" max="1795" width="9" style="82" customWidth="1"/>
    <col min="1796" max="1796" width="9.28515625" style="82" customWidth="1"/>
    <col min="1797" max="1797" width="8.5703125" style="82" customWidth="1"/>
    <col min="1798" max="1798" width="11.140625" style="82" customWidth="1"/>
    <col min="1799" max="1799" width="8" style="82" bestFit="1" customWidth="1"/>
    <col min="1800" max="1800" width="5.28515625" style="82" customWidth="1"/>
    <col min="1801" max="1801" width="8" style="82" bestFit="1" customWidth="1"/>
    <col min="1802" max="1802" width="8.42578125" style="82" customWidth="1"/>
    <col min="1803" max="1803" width="20.140625" style="82" customWidth="1"/>
    <col min="1804" max="1804" width="5.7109375" style="82" bestFit="1" customWidth="1"/>
    <col min="1805" max="2048" width="9.140625" style="82"/>
    <col min="2049" max="2049" width="6.28515625" style="82" customWidth="1"/>
    <col min="2050" max="2050" width="6.5703125" style="82" bestFit="1" customWidth="1"/>
    <col min="2051" max="2051" width="9" style="82" customWidth="1"/>
    <col min="2052" max="2052" width="9.28515625" style="82" customWidth="1"/>
    <col min="2053" max="2053" width="8.5703125" style="82" customWidth="1"/>
    <col min="2054" max="2054" width="11.140625" style="82" customWidth="1"/>
    <col min="2055" max="2055" width="8" style="82" bestFit="1" customWidth="1"/>
    <col min="2056" max="2056" width="5.28515625" style="82" customWidth="1"/>
    <col min="2057" max="2057" width="8" style="82" bestFit="1" customWidth="1"/>
    <col min="2058" max="2058" width="8.42578125" style="82" customWidth="1"/>
    <col min="2059" max="2059" width="20.140625" style="82" customWidth="1"/>
    <col min="2060" max="2060" width="5.7109375" style="82" bestFit="1" customWidth="1"/>
    <col min="2061" max="2304" width="9.140625" style="82"/>
    <col min="2305" max="2305" width="6.28515625" style="82" customWidth="1"/>
    <col min="2306" max="2306" width="6.5703125" style="82" bestFit="1" customWidth="1"/>
    <col min="2307" max="2307" width="9" style="82" customWidth="1"/>
    <col min="2308" max="2308" width="9.28515625" style="82" customWidth="1"/>
    <col min="2309" max="2309" width="8.5703125" style="82" customWidth="1"/>
    <col min="2310" max="2310" width="11.140625" style="82" customWidth="1"/>
    <col min="2311" max="2311" width="8" style="82" bestFit="1" customWidth="1"/>
    <col min="2312" max="2312" width="5.28515625" style="82" customWidth="1"/>
    <col min="2313" max="2313" width="8" style="82" bestFit="1" customWidth="1"/>
    <col min="2314" max="2314" width="8.42578125" style="82" customWidth="1"/>
    <col min="2315" max="2315" width="20.140625" style="82" customWidth="1"/>
    <col min="2316" max="2316" width="5.7109375" style="82" bestFit="1" customWidth="1"/>
    <col min="2317" max="2560" width="9.140625" style="82"/>
    <col min="2561" max="2561" width="6.28515625" style="82" customWidth="1"/>
    <col min="2562" max="2562" width="6.5703125" style="82" bestFit="1" customWidth="1"/>
    <col min="2563" max="2563" width="9" style="82" customWidth="1"/>
    <col min="2564" max="2564" width="9.28515625" style="82" customWidth="1"/>
    <col min="2565" max="2565" width="8.5703125" style="82" customWidth="1"/>
    <col min="2566" max="2566" width="11.140625" style="82" customWidth="1"/>
    <col min="2567" max="2567" width="8" style="82" bestFit="1" customWidth="1"/>
    <col min="2568" max="2568" width="5.28515625" style="82" customWidth="1"/>
    <col min="2569" max="2569" width="8" style="82" bestFit="1" customWidth="1"/>
    <col min="2570" max="2570" width="8.42578125" style="82" customWidth="1"/>
    <col min="2571" max="2571" width="20.140625" style="82" customWidth="1"/>
    <col min="2572" max="2572" width="5.7109375" style="82" bestFit="1" customWidth="1"/>
    <col min="2573" max="2816" width="9.140625" style="82"/>
    <col min="2817" max="2817" width="6.28515625" style="82" customWidth="1"/>
    <col min="2818" max="2818" width="6.5703125" style="82" bestFit="1" customWidth="1"/>
    <col min="2819" max="2819" width="9" style="82" customWidth="1"/>
    <col min="2820" max="2820" width="9.28515625" style="82" customWidth="1"/>
    <col min="2821" max="2821" width="8.5703125" style="82" customWidth="1"/>
    <col min="2822" max="2822" width="11.140625" style="82" customWidth="1"/>
    <col min="2823" max="2823" width="8" style="82" bestFit="1" customWidth="1"/>
    <col min="2824" max="2824" width="5.28515625" style="82" customWidth="1"/>
    <col min="2825" max="2825" width="8" style="82" bestFit="1" customWidth="1"/>
    <col min="2826" max="2826" width="8.42578125" style="82" customWidth="1"/>
    <col min="2827" max="2827" width="20.140625" style="82" customWidth="1"/>
    <col min="2828" max="2828" width="5.7109375" style="82" bestFit="1" customWidth="1"/>
    <col min="2829" max="3072" width="9.140625" style="82"/>
    <col min="3073" max="3073" width="6.28515625" style="82" customWidth="1"/>
    <col min="3074" max="3074" width="6.5703125" style="82" bestFit="1" customWidth="1"/>
    <col min="3075" max="3075" width="9" style="82" customWidth="1"/>
    <col min="3076" max="3076" width="9.28515625" style="82" customWidth="1"/>
    <col min="3077" max="3077" width="8.5703125" style="82" customWidth="1"/>
    <col min="3078" max="3078" width="11.140625" style="82" customWidth="1"/>
    <col min="3079" max="3079" width="8" style="82" bestFit="1" customWidth="1"/>
    <col min="3080" max="3080" width="5.28515625" style="82" customWidth="1"/>
    <col min="3081" max="3081" width="8" style="82" bestFit="1" customWidth="1"/>
    <col min="3082" max="3082" width="8.42578125" style="82" customWidth="1"/>
    <col min="3083" max="3083" width="20.140625" style="82" customWidth="1"/>
    <col min="3084" max="3084" width="5.7109375" style="82" bestFit="1" customWidth="1"/>
    <col min="3085" max="3328" width="9.140625" style="82"/>
    <col min="3329" max="3329" width="6.28515625" style="82" customWidth="1"/>
    <col min="3330" max="3330" width="6.5703125" style="82" bestFit="1" customWidth="1"/>
    <col min="3331" max="3331" width="9" style="82" customWidth="1"/>
    <col min="3332" max="3332" width="9.28515625" style="82" customWidth="1"/>
    <col min="3333" max="3333" width="8.5703125" style="82" customWidth="1"/>
    <col min="3334" max="3334" width="11.140625" style="82" customWidth="1"/>
    <col min="3335" max="3335" width="8" style="82" bestFit="1" customWidth="1"/>
    <col min="3336" max="3336" width="5.28515625" style="82" customWidth="1"/>
    <col min="3337" max="3337" width="8" style="82" bestFit="1" customWidth="1"/>
    <col min="3338" max="3338" width="8.42578125" style="82" customWidth="1"/>
    <col min="3339" max="3339" width="20.140625" style="82" customWidth="1"/>
    <col min="3340" max="3340" width="5.7109375" style="82" bestFit="1" customWidth="1"/>
    <col min="3341" max="3584" width="9.140625" style="82"/>
    <col min="3585" max="3585" width="6.28515625" style="82" customWidth="1"/>
    <col min="3586" max="3586" width="6.5703125" style="82" bestFit="1" customWidth="1"/>
    <col min="3587" max="3587" width="9" style="82" customWidth="1"/>
    <col min="3588" max="3588" width="9.28515625" style="82" customWidth="1"/>
    <col min="3589" max="3589" width="8.5703125" style="82" customWidth="1"/>
    <col min="3590" max="3590" width="11.140625" style="82" customWidth="1"/>
    <col min="3591" max="3591" width="8" style="82" bestFit="1" customWidth="1"/>
    <col min="3592" max="3592" width="5.28515625" style="82" customWidth="1"/>
    <col min="3593" max="3593" width="8" style="82" bestFit="1" customWidth="1"/>
    <col min="3594" max="3594" width="8.42578125" style="82" customWidth="1"/>
    <col min="3595" max="3595" width="20.140625" style="82" customWidth="1"/>
    <col min="3596" max="3596" width="5.7109375" style="82" bestFit="1" customWidth="1"/>
    <col min="3597" max="3840" width="9.140625" style="82"/>
    <col min="3841" max="3841" width="6.28515625" style="82" customWidth="1"/>
    <col min="3842" max="3842" width="6.5703125" style="82" bestFit="1" customWidth="1"/>
    <col min="3843" max="3843" width="9" style="82" customWidth="1"/>
    <col min="3844" max="3844" width="9.28515625" style="82" customWidth="1"/>
    <col min="3845" max="3845" width="8.5703125" style="82" customWidth="1"/>
    <col min="3846" max="3846" width="11.140625" style="82" customWidth="1"/>
    <col min="3847" max="3847" width="8" style="82" bestFit="1" customWidth="1"/>
    <col min="3848" max="3848" width="5.28515625" style="82" customWidth="1"/>
    <col min="3849" max="3849" width="8" style="82" bestFit="1" customWidth="1"/>
    <col min="3850" max="3850" width="8.42578125" style="82" customWidth="1"/>
    <col min="3851" max="3851" width="20.140625" style="82" customWidth="1"/>
    <col min="3852" max="3852" width="5.7109375" style="82" bestFit="1" customWidth="1"/>
    <col min="3853" max="4096" width="9.140625" style="82"/>
    <col min="4097" max="4097" width="6.28515625" style="82" customWidth="1"/>
    <col min="4098" max="4098" width="6.5703125" style="82" bestFit="1" customWidth="1"/>
    <col min="4099" max="4099" width="9" style="82" customWidth="1"/>
    <col min="4100" max="4100" width="9.28515625" style="82" customWidth="1"/>
    <col min="4101" max="4101" width="8.5703125" style="82" customWidth="1"/>
    <col min="4102" max="4102" width="11.140625" style="82" customWidth="1"/>
    <col min="4103" max="4103" width="8" style="82" bestFit="1" customWidth="1"/>
    <col min="4104" max="4104" width="5.28515625" style="82" customWidth="1"/>
    <col min="4105" max="4105" width="8" style="82" bestFit="1" customWidth="1"/>
    <col min="4106" max="4106" width="8.42578125" style="82" customWidth="1"/>
    <col min="4107" max="4107" width="20.140625" style="82" customWidth="1"/>
    <col min="4108" max="4108" width="5.7109375" style="82" bestFit="1" customWidth="1"/>
    <col min="4109" max="4352" width="9.140625" style="82"/>
    <col min="4353" max="4353" width="6.28515625" style="82" customWidth="1"/>
    <col min="4354" max="4354" width="6.5703125" style="82" bestFit="1" customWidth="1"/>
    <col min="4355" max="4355" width="9" style="82" customWidth="1"/>
    <col min="4356" max="4356" width="9.28515625" style="82" customWidth="1"/>
    <col min="4357" max="4357" width="8.5703125" style="82" customWidth="1"/>
    <col min="4358" max="4358" width="11.140625" style="82" customWidth="1"/>
    <col min="4359" max="4359" width="8" style="82" bestFit="1" customWidth="1"/>
    <col min="4360" max="4360" width="5.28515625" style="82" customWidth="1"/>
    <col min="4361" max="4361" width="8" style="82" bestFit="1" customWidth="1"/>
    <col min="4362" max="4362" width="8.42578125" style="82" customWidth="1"/>
    <col min="4363" max="4363" width="20.140625" style="82" customWidth="1"/>
    <col min="4364" max="4364" width="5.7109375" style="82" bestFit="1" customWidth="1"/>
    <col min="4365" max="4608" width="9.140625" style="82"/>
    <col min="4609" max="4609" width="6.28515625" style="82" customWidth="1"/>
    <col min="4610" max="4610" width="6.5703125" style="82" bestFit="1" customWidth="1"/>
    <col min="4611" max="4611" width="9" style="82" customWidth="1"/>
    <col min="4612" max="4612" width="9.28515625" style="82" customWidth="1"/>
    <col min="4613" max="4613" width="8.5703125" style="82" customWidth="1"/>
    <col min="4614" max="4614" width="11.140625" style="82" customWidth="1"/>
    <col min="4615" max="4615" width="8" style="82" bestFit="1" customWidth="1"/>
    <col min="4616" max="4616" width="5.28515625" style="82" customWidth="1"/>
    <col min="4617" max="4617" width="8" style="82" bestFit="1" customWidth="1"/>
    <col min="4618" max="4618" width="8.42578125" style="82" customWidth="1"/>
    <col min="4619" max="4619" width="20.140625" style="82" customWidth="1"/>
    <col min="4620" max="4620" width="5.7109375" style="82" bestFit="1" customWidth="1"/>
    <col min="4621" max="4864" width="9.140625" style="82"/>
    <col min="4865" max="4865" width="6.28515625" style="82" customWidth="1"/>
    <col min="4866" max="4866" width="6.5703125" style="82" bestFit="1" customWidth="1"/>
    <col min="4867" max="4867" width="9" style="82" customWidth="1"/>
    <col min="4868" max="4868" width="9.28515625" style="82" customWidth="1"/>
    <col min="4869" max="4869" width="8.5703125" style="82" customWidth="1"/>
    <col min="4870" max="4870" width="11.140625" style="82" customWidth="1"/>
    <col min="4871" max="4871" width="8" style="82" bestFit="1" customWidth="1"/>
    <col min="4872" max="4872" width="5.28515625" style="82" customWidth="1"/>
    <col min="4873" max="4873" width="8" style="82" bestFit="1" customWidth="1"/>
    <col min="4874" max="4874" width="8.42578125" style="82" customWidth="1"/>
    <col min="4875" max="4875" width="20.140625" style="82" customWidth="1"/>
    <col min="4876" max="4876" width="5.7109375" style="82" bestFit="1" customWidth="1"/>
    <col min="4877" max="5120" width="9.140625" style="82"/>
    <col min="5121" max="5121" width="6.28515625" style="82" customWidth="1"/>
    <col min="5122" max="5122" width="6.5703125" style="82" bestFit="1" customWidth="1"/>
    <col min="5123" max="5123" width="9" style="82" customWidth="1"/>
    <col min="5124" max="5124" width="9.28515625" style="82" customWidth="1"/>
    <col min="5125" max="5125" width="8.5703125" style="82" customWidth="1"/>
    <col min="5126" max="5126" width="11.140625" style="82" customWidth="1"/>
    <col min="5127" max="5127" width="8" style="82" bestFit="1" customWidth="1"/>
    <col min="5128" max="5128" width="5.28515625" style="82" customWidth="1"/>
    <col min="5129" max="5129" width="8" style="82" bestFit="1" customWidth="1"/>
    <col min="5130" max="5130" width="8.42578125" style="82" customWidth="1"/>
    <col min="5131" max="5131" width="20.140625" style="82" customWidth="1"/>
    <col min="5132" max="5132" width="5.7109375" style="82" bestFit="1" customWidth="1"/>
    <col min="5133" max="5376" width="9.140625" style="82"/>
    <col min="5377" max="5377" width="6.28515625" style="82" customWidth="1"/>
    <col min="5378" max="5378" width="6.5703125" style="82" bestFit="1" customWidth="1"/>
    <col min="5379" max="5379" width="9" style="82" customWidth="1"/>
    <col min="5380" max="5380" width="9.28515625" style="82" customWidth="1"/>
    <col min="5381" max="5381" width="8.5703125" style="82" customWidth="1"/>
    <col min="5382" max="5382" width="11.140625" style="82" customWidth="1"/>
    <col min="5383" max="5383" width="8" style="82" bestFit="1" customWidth="1"/>
    <col min="5384" max="5384" width="5.28515625" style="82" customWidth="1"/>
    <col min="5385" max="5385" width="8" style="82" bestFit="1" customWidth="1"/>
    <col min="5386" max="5386" width="8.42578125" style="82" customWidth="1"/>
    <col min="5387" max="5387" width="20.140625" style="82" customWidth="1"/>
    <col min="5388" max="5388" width="5.7109375" style="82" bestFit="1" customWidth="1"/>
    <col min="5389" max="5632" width="9.140625" style="82"/>
    <col min="5633" max="5633" width="6.28515625" style="82" customWidth="1"/>
    <col min="5634" max="5634" width="6.5703125" style="82" bestFit="1" customWidth="1"/>
    <col min="5635" max="5635" width="9" style="82" customWidth="1"/>
    <col min="5636" max="5636" width="9.28515625" style="82" customWidth="1"/>
    <col min="5637" max="5637" width="8.5703125" style="82" customWidth="1"/>
    <col min="5638" max="5638" width="11.140625" style="82" customWidth="1"/>
    <col min="5639" max="5639" width="8" style="82" bestFit="1" customWidth="1"/>
    <col min="5640" max="5640" width="5.28515625" style="82" customWidth="1"/>
    <col min="5641" max="5641" width="8" style="82" bestFit="1" customWidth="1"/>
    <col min="5642" max="5642" width="8.42578125" style="82" customWidth="1"/>
    <col min="5643" max="5643" width="20.140625" style="82" customWidth="1"/>
    <col min="5644" max="5644" width="5.7109375" style="82" bestFit="1" customWidth="1"/>
    <col min="5645" max="5888" width="9.140625" style="82"/>
    <col min="5889" max="5889" width="6.28515625" style="82" customWidth="1"/>
    <col min="5890" max="5890" width="6.5703125" style="82" bestFit="1" customWidth="1"/>
    <col min="5891" max="5891" width="9" style="82" customWidth="1"/>
    <col min="5892" max="5892" width="9.28515625" style="82" customWidth="1"/>
    <col min="5893" max="5893" width="8.5703125" style="82" customWidth="1"/>
    <col min="5894" max="5894" width="11.140625" style="82" customWidth="1"/>
    <col min="5895" max="5895" width="8" style="82" bestFit="1" customWidth="1"/>
    <col min="5896" max="5896" width="5.28515625" style="82" customWidth="1"/>
    <col min="5897" max="5897" width="8" style="82" bestFit="1" customWidth="1"/>
    <col min="5898" max="5898" width="8.42578125" style="82" customWidth="1"/>
    <col min="5899" max="5899" width="20.140625" style="82" customWidth="1"/>
    <col min="5900" max="5900" width="5.7109375" style="82" bestFit="1" customWidth="1"/>
    <col min="5901" max="6144" width="9.140625" style="82"/>
    <col min="6145" max="6145" width="6.28515625" style="82" customWidth="1"/>
    <col min="6146" max="6146" width="6.5703125" style="82" bestFit="1" customWidth="1"/>
    <col min="6147" max="6147" width="9" style="82" customWidth="1"/>
    <col min="6148" max="6148" width="9.28515625" style="82" customWidth="1"/>
    <col min="6149" max="6149" width="8.5703125" style="82" customWidth="1"/>
    <col min="6150" max="6150" width="11.140625" style="82" customWidth="1"/>
    <col min="6151" max="6151" width="8" style="82" bestFit="1" customWidth="1"/>
    <col min="6152" max="6152" width="5.28515625" style="82" customWidth="1"/>
    <col min="6153" max="6153" width="8" style="82" bestFit="1" customWidth="1"/>
    <col min="6154" max="6154" width="8.42578125" style="82" customWidth="1"/>
    <col min="6155" max="6155" width="20.140625" style="82" customWidth="1"/>
    <col min="6156" max="6156" width="5.7109375" style="82" bestFit="1" customWidth="1"/>
    <col min="6157" max="6400" width="9.140625" style="82"/>
    <col min="6401" max="6401" width="6.28515625" style="82" customWidth="1"/>
    <col min="6402" max="6402" width="6.5703125" style="82" bestFit="1" customWidth="1"/>
    <col min="6403" max="6403" width="9" style="82" customWidth="1"/>
    <col min="6404" max="6404" width="9.28515625" style="82" customWidth="1"/>
    <col min="6405" max="6405" width="8.5703125" style="82" customWidth="1"/>
    <col min="6406" max="6406" width="11.140625" style="82" customWidth="1"/>
    <col min="6407" max="6407" width="8" style="82" bestFit="1" customWidth="1"/>
    <col min="6408" max="6408" width="5.28515625" style="82" customWidth="1"/>
    <col min="6409" max="6409" width="8" style="82" bestFit="1" customWidth="1"/>
    <col min="6410" max="6410" width="8.42578125" style="82" customWidth="1"/>
    <col min="6411" max="6411" width="20.140625" style="82" customWidth="1"/>
    <col min="6412" max="6412" width="5.7109375" style="82" bestFit="1" customWidth="1"/>
    <col min="6413" max="6656" width="9.140625" style="82"/>
    <col min="6657" max="6657" width="6.28515625" style="82" customWidth="1"/>
    <col min="6658" max="6658" width="6.5703125" style="82" bestFit="1" customWidth="1"/>
    <col min="6659" max="6659" width="9" style="82" customWidth="1"/>
    <col min="6660" max="6660" width="9.28515625" style="82" customWidth="1"/>
    <col min="6661" max="6661" width="8.5703125" style="82" customWidth="1"/>
    <col min="6662" max="6662" width="11.140625" style="82" customWidth="1"/>
    <col min="6663" max="6663" width="8" style="82" bestFit="1" customWidth="1"/>
    <col min="6664" max="6664" width="5.28515625" style="82" customWidth="1"/>
    <col min="6665" max="6665" width="8" style="82" bestFit="1" customWidth="1"/>
    <col min="6666" max="6666" width="8.42578125" style="82" customWidth="1"/>
    <col min="6667" max="6667" width="20.140625" style="82" customWidth="1"/>
    <col min="6668" max="6668" width="5.7109375" style="82" bestFit="1" customWidth="1"/>
    <col min="6669" max="6912" width="9.140625" style="82"/>
    <col min="6913" max="6913" width="6.28515625" style="82" customWidth="1"/>
    <col min="6914" max="6914" width="6.5703125" style="82" bestFit="1" customWidth="1"/>
    <col min="6915" max="6915" width="9" style="82" customWidth="1"/>
    <col min="6916" max="6916" width="9.28515625" style="82" customWidth="1"/>
    <col min="6917" max="6917" width="8.5703125" style="82" customWidth="1"/>
    <col min="6918" max="6918" width="11.140625" style="82" customWidth="1"/>
    <col min="6919" max="6919" width="8" style="82" bestFit="1" customWidth="1"/>
    <col min="6920" max="6920" width="5.28515625" style="82" customWidth="1"/>
    <col min="6921" max="6921" width="8" style="82" bestFit="1" customWidth="1"/>
    <col min="6922" max="6922" width="8.42578125" style="82" customWidth="1"/>
    <col min="6923" max="6923" width="20.140625" style="82" customWidth="1"/>
    <col min="6924" max="6924" width="5.7109375" style="82" bestFit="1" customWidth="1"/>
    <col min="6925" max="7168" width="9.140625" style="82"/>
    <col min="7169" max="7169" width="6.28515625" style="82" customWidth="1"/>
    <col min="7170" max="7170" width="6.5703125" style="82" bestFit="1" customWidth="1"/>
    <col min="7171" max="7171" width="9" style="82" customWidth="1"/>
    <col min="7172" max="7172" width="9.28515625" style="82" customWidth="1"/>
    <col min="7173" max="7173" width="8.5703125" style="82" customWidth="1"/>
    <col min="7174" max="7174" width="11.140625" style="82" customWidth="1"/>
    <col min="7175" max="7175" width="8" style="82" bestFit="1" customWidth="1"/>
    <col min="7176" max="7176" width="5.28515625" style="82" customWidth="1"/>
    <col min="7177" max="7177" width="8" style="82" bestFit="1" customWidth="1"/>
    <col min="7178" max="7178" width="8.42578125" style="82" customWidth="1"/>
    <col min="7179" max="7179" width="20.140625" style="82" customWidth="1"/>
    <col min="7180" max="7180" width="5.7109375" style="82" bestFit="1" customWidth="1"/>
    <col min="7181" max="7424" width="9.140625" style="82"/>
    <col min="7425" max="7425" width="6.28515625" style="82" customWidth="1"/>
    <col min="7426" max="7426" width="6.5703125" style="82" bestFit="1" customWidth="1"/>
    <col min="7427" max="7427" width="9" style="82" customWidth="1"/>
    <col min="7428" max="7428" width="9.28515625" style="82" customWidth="1"/>
    <col min="7429" max="7429" width="8.5703125" style="82" customWidth="1"/>
    <col min="7430" max="7430" width="11.140625" style="82" customWidth="1"/>
    <col min="7431" max="7431" width="8" style="82" bestFit="1" customWidth="1"/>
    <col min="7432" max="7432" width="5.28515625" style="82" customWidth="1"/>
    <col min="7433" max="7433" width="8" style="82" bestFit="1" customWidth="1"/>
    <col min="7434" max="7434" width="8.42578125" style="82" customWidth="1"/>
    <col min="7435" max="7435" width="20.140625" style="82" customWidth="1"/>
    <col min="7436" max="7436" width="5.7109375" style="82" bestFit="1" customWidth="1"/>
    <col min="7437" max="7680" width="9.140625" style="82"/>
    <col min="7681" max="7681" width="6.28515625" style="82" customWidth="1"/>
    <col min="7682" max="7682" width="6.5703125" style="82" bestFit="1" customWidth="1"/>
    <col min="7683" max="7683" width="9" style="82" customWidth="1"/>
    <col min="7684" max="7684" width="9.28515625" style="82" customWidth="1"/>
    <col min="7685" max="7685" width="8.5703125" style="82" customWidth="1"/>
    <col min="7686" max="7686" width="11.140625" style="82" customWidth="1"/>
    <col min="7687" max="7687" width="8" style="82" bestFit="1" customWidth="1"/>
    <col min="7688" max="7688" width="5.28515625" style="82" customWidth="1"/>
    <col min="7689" max="7689" width="8" style="82" bestFit="1" customWidth="1"/>
    <col min="7690" max="7690" width="8.42578125" style="82" customWidth="1"/>
    <col min="7691" max="7691" width="20.140625" style="82" customWidth="1"/>
    <col min="7692" max="7692" width="5.7109375" style="82" bestFit="1" customWidth="1"/>
    <col min="7693" max="7936" width="9.140625" style="82"/>
    <col min="7937" max="7937" width="6.28515625" style="82" customWidth="1"/>
    <col min="7938" max="7938" width="6.5703125" style="82" bestFit="1" customWidth="1"/>
    <col min="7939" max="7939" width="9" style="82" customWidth="1"/>
    <col min="7940" max="7940" width="9.28515625" style="82" customWidth="1"/>
    <col min="7941" max="7941" width="8.5703125" style="82" customWidth="1"/>
    <col min="7942" max="7942" width="11.140625" style="82" customWidth="1"/>
    <col min="7943" max="7943" width="8" style="82" bestFit="1" customWidth="1"/>
    <col min="7944" max="7944" width="5.28515625" style="82" customWidth="1"/>
    <col min="7945" max="7945" width="8" style="82" bestFit="1" customWidth="1"/>
    <col min="7946" max="7946" width="8.42578125" style="82" customWidth="1"/>
    <col min="7947" max="7947" width="20.140625" style="82" customWidth="1"/>
    <col min="7948" max="7948" width="5.7109375" style="82" bestFit="1" customWidth="1"/>
    <col min="7949" max="8192" width="9.140625" style="82"/>
    <col min="8193" max="8193" width="6.28515625" style="82" customWidth="1"/>
    <col min="8194" max="8194" width="6.5703125" style="82" bestFit="1" customWidth="1"/>
    <col min="8195" max="8195" width="9" style="82" customWidth="1"/>
    <col min="8196" max="8196" width="9.28515625" style="82" customWidth="1"/>
    <col min="8197" max="8197" width="8.5703125" style="82" customWidth="1"/>
    <col min="8198" max="8198" width="11.140625" style="82" customWidth="1"/>
    <col min="8199" max="8199" width="8" style="82" bestFit="1" customWidth="1"/>
    <col min="8200" max="8200" width="5.28515625" style="82" customWidth="1"/>
    <col min="8201" max="8201" width="8" style="82" bestFit="1" customWidth="1"/>
    <col min="8202" max="8202" width="8.42578125" style="82" customWidth="1"/>
    <col min="8203" max="8203" width="20.140625" style="82" customWidth="1"/>
    <col min="8204" max="8204" width="5.7109375" style="82" bestFit="1" customWidth="1"/>
    <col min="8205" max="8448" width="9.140625" style="82"/>
    <col min="8449" max="8449" width="6.28515625" style="82" customWidth="1"/>
    <col min="8450" max="8450" width="6.5703125" style="82" bestFit="1" customWidth="1"/>
    <col min="8451" max="8451" width="9" style="82" customWidth="1"/>
    <col min="8452" max="8452" width="9.28515625" style="82" customWidth="1"/>
    <col min="8453" max="8453" width="8.5703125" style="82" customWidth="1"/>
    <col min="8454" max="8454" width="11.140625" style="82" customWidth="1"/>
    <col min="8455" max="8455" width="8" style="82" bestFit="1" customWidth="1"/>
    <col min="8456" max="8456" width="5.28515625" style="82" customWidth="1"/>
    <col min="8457" max="8457" width="8" style="82" bestFit="1" customWidth="1"/>
    <col min="8458" max="8458" width="8.42578125" style="82" customWidth="1"/>
    <col min="8459" max="8459" width="20.140625" style="82" customWidth="1"/>
    <col min="8460" max="8460" width="5.7109375" style="82" bestFit="1" customWidth="1"/>
    <col min="8461" max="8704" width="9.140625" style="82"/>
    <col min="8705" max="8705" width="6.28515625" style="82" customWidth="1"/>
    <col min="8706" max="8706" width="6.5703125" style="82" bestFit="1" customWidth="1"/>
    <col min="8707" max="8707" width="9" style="82" customWidth="1"/>
    <col min="8708" max="8708" width="9.28515625" style="82" customWidth="1"/>
    <col min="8709" max="8709" width="8.5703125" style="82" customWidth="1"/>
    <col min="8710" max="8710" width="11.140625" style="82" customWidth="1"/>
    <col min="8711" max="8711" width="8" style="82" bestFit="1" customWidth="1"/>
    <col min="8712" max="8712" width="5.28515625" style="82" customWidth="1"/>
    <col min="8713" max="8713" width="8" style="82" bestFit="1" customWidth="1"/>
    <col min="8714" max="8714" width="8.42578125" style="82" customWidth="1"/>
    <col min="8715" max="8715" width="20.140625" style="82" customWidth="1"/>
    <col min="8716" max="8716" width="5.7109375" style="82" bestFit="1" customWidth="1"/>
    <col min="8717" max="8960" width="9.140625" style="82"/>
    <col min="8961" max="8961" width="6.28515625" style="82" customWidth="1"/>
    <col min="8962" max="8962" width="6.5703125" style="82" bestFit="1" customWidth="1"/>
    <col min="8963" max="8963" width="9" style="82" customWidth="1"/>
    <col min="8964" max="8964" width="9.28515625" style="82" customWidth="1"/>
    <col min="8965" max="8965" width="8.5703125" style="82" customWidth="1"/>
    <col min="8966" max="8966" width="11.140625" style="82" customWidth="1"/>
    <col min="8967" max="8967" width="8" style="82" bestFit="1" customWidth="1"/>
    <col min="8968" max="8968" width="5.28515625" style="82" customWidth="1"/>
    <col min="8969" max="8969" width="8" style="82" bestFit="1" customWidth="1"/>
    <col min="8970" max="8970" width="8.42578125" style="82" customWidth="1"/>
    <col min="8971" max="8971" width="20.140625" style="82" customWidth="1"/>
    <col min="8972" max="8972" width="5.7109375" style="82" bestFit="1" customWidth="1"/>
    <col min="8973" max="9216" width="9.140625" style="82"/>
    <col min="9217" max="9217" width="6.28515625" style="82" customWidth="1"/>
    <col min="9218" max="9218" width="6.5703125" style="82" bestFit="1" customWidth="1"/>
    <col min="9219" max="9219" width="9" style="82" customWidth="1"/>
    <col min="9220" max="9220" width="9.28515625" style="82" customWidth="1"/>
    <col min="9221" max="9221" width="8.5703125" style="82" customWidth="1"/>
    <col min="9222" max="9222" width="11.140625" style="82" customWidth="1"/>
    <col min="9223" max="9223" width="8" style="82" bestFit="1" customWidth="1"/>
    <col min="9224" max="9224" width="5.28515625" style="82" customWidth="1"/>
    <col min="9225" max="9225" width="8" style="82" bestFit="1" customWidth="1"/>
    <col min="9226" max="9226" width="8.42578125" style="82" customWidth="1"/>
    <col min="9227" max="9227" width="20.140625" style="82" customWidth="1"/>
    <col min="9228" max="9228" width="5.7109375" style="82" bestFit="1" customWidth="1"/>
    <col min="9229" max="9472" width="9.140625" style="82"/>
    <col min="9473" max="9473" width="6.28515625" style="82" customWidth="1"/>
    <col min="9474" max="9474" width="6.5703125" style="82" bestFit="1" customWidth="1"/>
    <col min="9475" max="9475" width="9" style="82" customWidth="1"/>
    <col min="9476" max="9476" width="9.28515625" style="82" customWidth="1"/>
    <col min="9477" max="9477" width="8.5703125" style="82" customWidth="1"/>
    <col min="9478" max="9478" width="11.140625" style="82" customWidth="1"/>
    <col min="9479" max="9479" width="8" style="82" bestFit="1" customWidth="1"/>
    <col min="9480" max="9480" width="5.28515625" style="82" customWidth="1"/>
    <col min="9481" max="9481" width="8" style="82" bestFit="1" customWidth="1"/>
    <col min="9482" max="9482" width="8.42578125" style="82" customWidth="1"/>
    <col min="9483" max="9483" width="20.140625" style="82" customWidth="1"/>
    <col min="9484" max="9484" width="5.7109375" style="82" bestFit="1" customWidth="1"/>
    <col min="9485" max="9728" width="9.140625" style="82"/>
    <col min="9729" max="9729" width="6.28515625" style="82" customWidth="1"/>
    <col min="9730" max="9730" width="6.5703125" style="82" bestFit="1" customWidth="1"/>
    <col min="9731" max="9731" width="9" style="82" customWidth="1"/>
    <col min="9732" max="9732" width="9.28515625" style="82" customWidth="1"/>
    <col min="9733" max="9733" width="8.5703125" style="82" customWidth="1"/>
    <col min="9734" max="9734" width="11.140625" style="82" customWidth="1"/>
    <col min="9735" max="9735" width="8" style="82" bestFit="1" customWidth="1"/>
    <col min="9736" max="9736" width="5.28515625" style="82" customWidth="1"/>
    <col min="9737" max="9737" width="8" style="82" bestFit="1" customWidth="1"/>
    <col min="9738" max="9738" width="8.42578125" style="82" customWidth="1"/>
    <col min="9739" max="9739" width="20.140625" style="82" customWidth="1"/>
    <col min="9740" max="9740" width="5.7109375" style="82" bestFit="1" customWidth="1"/>
    <col min="9741" max="9984" width="9.140625" style="82"/>
    <col min="9985" max="9985" width="6.28515625" style="82" customWidth="1"/>
    <col min="9986" max="9986" width="6.5703125" style="82" bestFit="1" customWidth="1"/>
    <col min="9987" max="9987" width="9" style="82" customWidth="1"/>
    <col min="9988" max="9988" width="9.28515625" style="82" customWidth="1"/>
    <col min="9989" max="9989" width="8.5703125" style="82" customWidth="1"/>
    <col min="9990" max="9990" width="11.140625" style="82" customWidth="1"/>
    <col min="9991" max="9991" width="8" style="82" bestFit="1" customWidth="1"/>
    <col min="9992" max="9992" width="5.28515625" style="82" customWidth="1"/>
    <col min="9993" max="9993" width="8" style="82" bestFit="1" customWidth="1"/>
    <col min="9994" max="9994" width="8.42578125" style="82" customWidth="1"/>
    <col min="9995" max="9995" width="20.140625" style="82" customWidth="1"/>
    <col min="9996" max="9996" width="5.7109375" style="82" bestFit="1" customWidth="1"/>
    <col min="9997" max="10240" width="9.140625" style="82"/>
    <col min="10241" max="10241" width="6.28515625" style="82" customWidth="1"/>
    <col min="10242" max="10242" width="6.5703125" style="82" bestFit="1" customWidth="1"/>
    <col min="10243" max="10243" width="9" style="82" customWidth="1"/>
    <col min="10244" max="10244" width="9.28515625" style="82" customWidth="1"/>
    <col min="10245" max="10245" width="8.5703125" style="82" customWidth="1"/>
    <col min="10246" max="10246" width="11.140625" style="82" customWidth="1"/>
    <col min="10247" max="10247" width="8" style="82" bestFit="1" customWidth="1"/>
    <col min="10248" max="10248" width="5.28515625" style="82" customWidth="1"/>
    <col min="10249" max="10249" width="8" style="82" bestFit="1" customWidth="1"/>
    <col min="10250" max="10250" width="8.42578125" style="82" customWidth="1"/>
    <col min="10251" max="10251" width="20.140625" style="82" customWidth="1"/>
    <col min="10252" max="10252" width="5.7109375" style="82" bestFit="1" customWidth="1"/>
    <col min="10253" max="10496" width="9.140625" style="82"/>
    <col min="10497" max="10497" width="6.28515625" style="82" customWidth="1"/>
    <col min="10498" max="10498" width="6.5703125" style="82" bestFit="1" customWidth="1"/>
    <col min="10499" max="10499" width="9" style="82" customWidth="1"/>
    <col min="10500" max="10500" width="9.28515625" style="82" customWidth="1"/>
    <col min="10501" max="10501" width="8.5703125" style="82" customWidth="1"/>
    <col min="10502" max="10502" width="11.140625" style="82" customWidth="1"/>
    <col min="10503" max="10503" width="8" style="82" bestFit="1" customWidth="1"/>
    <col min="10504" max="10504" width="5.28515625" style="82" customWidth="1"/>
    <col min="10505" max="10505" width="8" style="82" bestFit="1" customWidth="1"/>
    <col min="10506" max="10506" width="8.42578125" style="82" customWidth="1"/>
    <col min="10507" max="10507" width="20.140625" style="82" customWidth="1"/>
    <col min="10508" max="10508" width="5.7109375" style="82" bestFit="1" customWidth="1"/>
    <col min="10509" max="10752" width="9.140625" style="82"/>
    <col min="10753" max="10753" width="6.28515625" style="82" customWidth="1"/>
    <col min="10754" max="10754" width="6.5703125" style="82" bestFit="1" customWidth="1"/>
    <col min="10755" max="10755" width="9" style="82" customWidth="1"/>
    <col min="10756" max="10756" width="9.28515625" style="82" customWidth="1"/>
    <col min="10757" max="10757" width="8.5703125" style="82" customWidth="1"/>
    <col min="10758" max="10758" width="11.140625" style="82" customWidth="1"/>
    <col min="10759" max="10759" width="8" style="82" bestFit="1" customWidth="1"/>
    <col min="10760" max="10760" width="5.28515625" style="82" customWidth="1"/>
    <col min="10761" max="10761" width="8" style="82" bestFit="1" customWidth="1"/>
    <col min="10762" max="10762" width="8.42578125" style="82" customWidth="1"/>
    <col min="10763" max="10763" width="20.140625" style="82" customWidth="1"/>
    <col min="10764" max="10764" width="5.7109375" style="82" bestFit="1" customWidth="1"/>
    <col min="10765" max="11008" width="9.140625" style="82"/>
    <col min="11009" max="11009" width="6.28515625" style="82" customWidth="1"/>
    <col min="11010" max="11010" width="6.5703125" style="82" bestFit="1" customWidth="1"/>
    <col min="11011" max="11011" width="9" style="82" customWidth="1"/>
    <col min="11012" max="11012" width="9.28515625" style="82" customWidth="1"/>
    <col min="11013" max="11013" width="8.5703125" style="82" customWidth="1"/>
    <col min="11014" max="11014" width="11.140625" style="82" customWidth="1"/>
    <col min="11015" max="11015" width="8" style="82" bestFit="1" customWidth="1"/>
    <col min="11016" max="11016" width="5.28515625" style="82" customWidth="1"/>
    <col min="11017" max="11017" width="8" style="82" bestFit="1" customWidth="1"/>
    <col min="11018" max="11018" width="8.42578125" style="82" customWidth="1"/>
    <col min="11019" max="11019" width="20.140625" style="82" customWidth="1"/>
    <col min="11020" max="11020" width="5.7109375" style="82" bestFit="1" customWidth="1"/>
    <col min="11021" max="11264" width="9.140625" style="82"/>
    <col min="11265" max="11265" width="6.28515625" style="82" customWidth="1"/>
    <col min="11266" max="11266" width="6.5703125" style="82" bestFit="1" customWidth="1"/>
    <col min="11267" max="11267" width="9" style="82" customWidth="1"/>
    <col min="11268" max="11268" width="9.28515625" style="82" customWidth="1"/>
    <col min="11269" max="11269" width="8.5703125" style="82" customWidth="1"/>
    <col min="11270" max="11270" width="11.140625" style="82" customWidth="1"/>
    <col min="11271" max="11271" width="8" style="82" bestFit="1" customWidth="1"/>
    <col min="11272" max="11272" width="5.28515625" style="82" customWidth="1"/>
    <col min="11273" max="11273" width="8" style="82" bestFit="1" customWidth="1"/>
    <col min="11274" max="11274" width="8.42578125" style="82" customWidth="1"/>
    <col min="11275" max="11275" width="20.140625" style="82" customWidth="1"/>
    <col min="11276" max="11276" width="5.7109375" style="82" bestFit="1" customWidth="1"/>
    <col min="11277" max="11520" width="9.140625" style="82"/>
    <col min="11521" max="11521" width="6.28515625" style="82" customWidth="1"/>
    <col min="11522" max="11522" width="6.5703125" style="82" bestFit="1" customWidth="1"/>
    <col min="11523" max="11523" width="9" style="82" customWidth="1"/>
    <col min="11524" max="11524" width="9.28515625" style="82" customWidth="1"/>
    <col min="11525" max="11525" width="8.5703125" style="82" customWidth="1"/>
    <col min="11526" max="11526" width="11.140625" style="82" customWidth="1"/>
    <col min="11527" max="11527" width="8" style="82" bestFit="1" customWidth="1"/>
    <col min="11528" max="11528" width="5.28515625" style="82" customWidth="1"/>
    <col min="11529" max="11529" width="8" style="82" bestFit="1" customWidth="1"/>
    <col min="11530" max="11530" width="8.42578125" style="82" customWidth="1"/>
    <col min="11531" max="11531" width="20.140625" style="82" customWidth="1"/>
    <col min="11532" max="11532" width="5.7109375" style="82" bestFit="1" customWidth="1"/>
    <col min="11533" max="11776" width="9.140625" style="82"/>
    <col min="11777" max="11777" width="6.28515625" style="82" customWidth="1"/>
    <col min="11778" max="11778" width="6.5703125" style="82" bestFit="1" customWidth="1"/>
    <col min="11779" max="11779" width="9" style="82" customWidth="1"/>
    <col min="11780" max="11780" width="9.28515625" style="82" customWidth="1"/>
    <col min="11781" max="11781" width="8.5703125" style="82" customWidth="1"/>
    <col min="11782" max="11782" width="11.140625" style="82" customWidth="1"/>
    <col min="11783" max="11783" width="8" style="82" bestFit="1" customWidth="1"/>
    <col min="11784" max="11784" width="5.28515625" style="82" customWidth="1"/>
    <col min="11785" max="11785" width="8" style="82" bestFit="1" customWidth="1"/>
    <col min="11786" max="11786" width="8.42578125" style="82" customWidth="1"/>
    <col min="11787" max="11787" width="20.140625" style="82" customWidth="1"/>
    <col min="11788" max="11788" width="5.7109375" style="82" bestFit="1" customWidth="1"/>
    <col min="11789" max="12032" width="9.140625" style="82"/>
    <col min="12033" max="12033" width="6.28515625" style="82" customWidth="1"/>
    <col min="12034" max="12034" width="6.5703125" style="82" bestFit="1" customWidth="1"/>
    <col min="12035" max="12035" width="9" style="82" customWidth="1"/>
    <col min="12036" max="12036" width="9.28515625" style="82" customWidth="1"/>
    <col min="12037" max="12037" width="8.5703125" style="82" customWidth="1"/>
    <col min="12038" max="12038" width="11.140625" style="82" customWidth="1"/>
    <col min="12039" max="12039" width="8" style="82" bestFit="1" customWidth="1"/>
    <col min="12040" max="12040" width="5.28515625" style="82" customWidth="1"/>
    <col min="12041" max="12041" width="8" style="82" bestFit="1" customWidth="1"/>
    <col min="12042" max="12042" width="8.42578125" style="82" customWidth="1"/>
    <col min="12043" max="12043" width="20.140625" style="82" customWidth="1"/>
    <col min="12044" max="12044" width="5.7109375" style="82" bestFit="1" customWidth="1"/>
    <col min="12045" max="12288" width="9.140625" style="82"/>
    <col min="12289" max="12289" width="6.28515625" style="82" customWidth="1"/>
    <col min="12290" max="12290" width="6.5703125" style="82" bestFit="1" customWidth="1"/>
    <col min="12291" max="12291" width="9" style="82" customWidth="1"/>
    <col min="12292" max="12292" width="9.28515625" style="82" customWidth="1"/>
    <col min="12293" max="12293" width="8.5703125" style="82" customWidth="1"/>
    <col min="12294" max="12294" width="11.140625" style="82" customWidth="1"/>
    <col min="12295" max="12295" width="8" style="82" bestFit="1" customWidth="1"/>
    <col min="12296" max="12296" width="5.28515625" style="82" customWidth="1"/>
    <col min="12297" max="12297" width="8" style="82" bestFit="1" customWidth="1"/>
    <col min="12298" max="12298" width="8.42578125" style="82" customWidth="1"/>
    <col min="12299" max="12299" width="20.140625" style="82" customWidth="1"/>
    <col min="12300" max="12300" width="5.7109375" style="82" bestFit="1" customWidth="1"/>
    <col min="12301" max="12544" width="9.140625" style="82"/>
    <col min="12545" max="12545" width="6.28515625" style="82" customWidth="1"/>
    <col min="12546" max="12546" width="6.5703125" style="82" bestFit="1" customWidth="1"/>
    <col min="12547" max="12547" width="9" style="82" customWidth="1"/>
    <col min="12548" max="12548" width="9.28515625" style="82" customWidth="1"/>
    <col min="12549" max="12549" width="8.5703125" style="82" customWidth="1"/>
    <col min="12550" max="12550" width="11.140625" style="82" customWidth="1"/>
    <col min="12551" max="12551" width="8" style="82" bestFit="1" customWidth="1"/>
    <col min="12552" max="12552" width="5.28515625" style="82" customWidth="1"/>
    <col min="12553" max="12553" width="8" style="82" bestFit="1" customWidth="1"/>
    <col min="12554" max="12554" width="8.42578125" style="82" customWidth="1"/>
    <col min="12555" max="12555" width="20.140625" style="82" customWidth="1"/>
    <col min="12556" max="12556" width="5.7109375" style="82" bestFit="1" customWidth="1"/>
    <col min="12557" max="12800" width="9.140625" style="82"/>
    <col min="12801" max="12801" width="6.28515625" style="82" customWidth="1"/>
    <col min="12802" max="12802" width="6.5703125" style="82" bestFit="1" customWidth="1"/>
    <col min="12803" max="12803" width="9" style="82" customWidth="1"/>
    <col min="12804" max="12804" width="9.28515625" style="82" customWidth="1"/>
    <col min="12805" max="12805" width="8.5703125" style="82" customWidth="1"/>
    <col min="12806" max="12806" width="11.140625" style="82" customWidth="1"/>
    <col min="12807" max="12807" width="8" style="82" bestFit="1" customWidth="1"/>
    <col min="12808" max="12808" width="5.28515625" style="82" customWidth="1"/>
    <col min="12809" max="12809" width="8" style="82" bestFit="1" customWidth="1"/>
    <col min="12810" max="12810" width="8.42578125" style="82" customWidth="1"/>
    <col min="12811" max="12811" width="20.140625" style="82" customWidth="1"/>
    <col min="12812" max="12812" width="5.7109375" style="82" bestFit="1" customWidth="1"/>
    <col min="12813" max="13056" width="9.140625" style="82"/>
    <col min="13057" max="13057" width="6.28515625" style="82" customWidth="1"/>
    <col min="13058" max="13058" width="6.5703125" style="82" bestFit="1" customWidth="1"/>
    <col min="13059" max="13059" width="9" style="82" customWidth="1"/>
    <col min="13060" max="13060" width="9.28515625" style="82" customWidth="1"/>
    <col min="13061" max="13061" width="8.5703125" style="82" customWidth="1"/>
    <col min="13062" max="13062" width="11.140625" style="82" customWidth="1"/>
    <col min="13063" max="13063" width="8" style="82" bestFit="1" customWidth="1"/>
    <col min="13064" max="13064" width="5.28515625" style="82" customWidth="1"/>
    <col min="13065" max="13065" width="8" style="82" bestFit="1" customWidth="1"/>
    <col min="13066" max="13066" width="8.42578125" style="82" customWidth="1"/>
    <col min="13067" max="13067" width="20.140625" style="82" customWidth="1"/>
    <col min="13068" max="13068" width="5.7109375" style="82" bestFit="1" customWidth="1"/>
    <col min="13069" max="13312" width="9.140625" style="82"/>
    <col min="13313" max="13313" width="6.28515625" style="82" customWidth="1"/>
    <col min="13314" max="13314" width="6.5703125" style="82" bestFit="1" customWidth="1"/>
    <col min="13315" max="13315" width="9" style="82" customWidth="1"/>
    <col min="13316" max="13316" width="9.28515625" style="82" customWidth="1"/>
    <col min="13317" max="13317" width="8.5703125" style="82" customWidth="1"/>
    <col min="13318" max="13318" width="11.140625" style="82" customWidth="1"/>
    <col min="13319" max="13319" width="8" style="82" bestFit="1" customWidth="1"/>
    <col min="13320" max="13320" width="5.28515625" style="82" customWidth="1"/>
    <col min="13321" max="13321" width="8" style="82" bestFit="1" customWidth="1"/>
    <col min="13322" max="13322" width="8.42578125" style="82" customWidth="1"/>
    <col min="13323" max="13323" width="20.140625" style="82" customWidth="1"/>
    <col min="13324" max="13324" width="5.7109375" style="82" bestFit="1" customWidth="1"/>
    <col min="13325" max="13568" width="9.140625" style="82"/>
    <col min="13569" max="13569" width="6.28515625" style="82" customWidth="1"/>
    <col min="13570" max="13570" width="6.5703125" style="82" bestFit="1" customWidth="1"/>
    <col min="13571" max="13571" width="9" style="82" customWidth="1"/>
    <col min="13572" max="13572" width="9.28515625" style="82" customWidth="1"/>
    <col min="13573" max="13573" width="8.5703125" style="82" customWidth="1"/>
    <col min="13574" max="13574" width="11.140625" style="82" customWidth="1"/>
    <col min="13575" max="13575" width="8" style="82" bestFit="1" customWidth="1"/>
    <col min="13576" max="13576" width="5.28515625" style="82" customWidth="1"/>
    <col min="13577" max="13577" width="8" style="82" bestFit="1" customWidth="1"/>
    <col min="13578" max="13578" width="8.42578125" style="82" customWidth="1"/>
    <col min="13579" max="13579" width="20.140625" style="82" customWidth="1"/>
    <col min="13580" max="13580" width="5.7109375" style="82" bestFit="1" customWidth="1"/>
    <col min="13581" max="13824" width="9.140625" style="82"/>
    <col min="13825" max="13825" width="6.28515625" style="82" customWidth="1"/>
    <col min="13826" max="13826" width="6.5703125" style="82" bestFit="1" customWidth="1"/>
    <col min="13827" max="13827" width="9" style="82" customWidth="1"/>
    <col min="13828" max="13828" width="9.28515625" style="82" customWidth="1"/>
    <col min="13829" max="13829" width="8.5703125" style="82" customWidth="1"/>
    <col min="13830" max="13830" width="11.140625" style="82" customWidth="1"/>
    <col min="13831" max="13831" width="8" style="82" bestFit="1" customWidth="1"/>
    <col min="13832" max="13832" width="5.28515625" style="82" customWidth="1"/>
    <col min="13833" max="13833" width="8" style="82" bestFit="1" customWidth="1"/>
    <col min="13834" max="13834" width="8.42578125" style="82" customWidth="1"/>
    <col min="13835" max="13835" width="20.140625" style="82" customWidth="1"/>
    <col min="13836" max="13836" width="5.7109375" style="82" bestFit="1" customWidth="1"/>
    <col min="13837" max="14080" width="9.140625" style="82"/>
    <col min="14081" max="14081" width="6.28515625" style="82" customWidth="1"/>
    <col min="14082" max="14082" width="6.5703125" style="82" bestFit="1" customWidth="1"/>
    <col min="14083" max="14083" width="9" style="82" customWidth="1"/>
    <col min="14084" max="14084" width="9.28515625" style="82" customWidth="1"/>
    <col min="14085" max="14085" width="8.5703125" style="82" customWidth="1"/>
    <col min="14086" max="14086" width="11.140625" style="82" customWidth="1"/>
    <col min="14087" max="14087" width="8" style="82" bestFit="1" customWidth="1"/>
    <col min="14088" max="14088" width="5.28515625" style="82" customWidth="1"/>
    <col min="14089" max="14089" width="8" style="82" bestFit="1" customWidth="1"/>
    <col min="14090" max="14090" width="8.42578125" style="82" customWidth="1"/>
    <col min="14091" max="14091" width="20.140625" style="82" customWidth="1"/>
    <col min="14092" max="14092" width="5.7109375" style="82" bestFit="1" customWidth="1"/>
    <col min="14093" max="14336" width="9.140625" style="82"/>
    <col min="14337" max="14337" width="6.28515625" style="82" customWidth="1"/>
    <col min="14338" max="14338" width="6.5703125" style="82" bestFit="1" customWidth="1"/>
    <col min="14339" max="14339" width="9" style="82" customWidth="1"/>
    <col min="14340" max="14340" width="9.28515625" style="82" customWidth="1"/>
    <col min="14341" max="14341" width="8.5703125" style="82" customWidth="1"/>
    <col min="14342" max="14342" width="11.140625" style="82" customWidth="1"/>
    <col min="14343" max="14343" width="8" style="82" bestFit="1" customWidth="1"/>
    <col min="14344" max="14344" width="5.28515625" style="82" customWidth="1"/>
    <col min="14345" max="14345" width="8" style="82" bestFit="1" customWidth="1"/>
    <col min="14346" max="14346" width="8.42578125" style="82" customWidth="1"/>
    <col min="14347" max="14347" width="20.140625" style="82" customWidth="1"/>
    <col min="14348" max="14348" width="5.7109375" style="82" bestFit="1" customWidth="1"/>
    <col min="14349" max="14592" width="9.140625" style="82"/>
    <col min="14593" max="14593" width="6.28515625" style="82" customWidth="1"/>
    <col min="14594" max="14594" width="6.5703125" style="82" bestFit="1" customWidth="1"/>
    <col min="14595" max="14595" width="9" style="82" customWidth="1"/>
    <col min="14596" max="14596" width="9.28515625" style="82" customWidth="1"/>
    <col min="14597" max="14597" width="8.5703125" style="82" customWidth="1"/>
    <col min="14598" max="14598" width="11.140625" style="82" customWidth="1"/>
    <col min="14599" max="14599" width="8" style="82" bestFit="1" customWidth="1"/>
    <col min="14600" max="14600" width="5.28515625" style="82" customWidth="1"/>
    <col min="14601" max="14601" width="8" style="82" bestFit="1" customWidth="1"/>
    <col min="14602" max="14602" width="8.42578125" style="82" customWidth="1"/>
    <col min="14603" max="14603" width="20.140625" style="82" customWidth="1"/>
    <col min="14604" max="14604" width="5.7109375" style="82" bestFit="1" customWidth="1"/>
    <col min="14605" max="14848" width="9.140625" style="82"/>
    <col min="14849" max="14849" width="6.28515625" style="82" customWidth="1"/>
    <col min="14850" max="14850" width="6.5703125" style="82" bestFit="1" customWidth="1"/>
    <col min="14851" max="14851" width="9" style="82" customWidth="1"/>
    <col min="14852" max="14852" width="9.28515625" style="82" customWidth="1"/>
    <col min="14853" max="14853" width="8.5703125" style="82" customWidth="1"/>
    <col min="14854" max="14854" width="11.140625" style="82" customWidth="1"/>
    <col min="14855" max="14855" width="8" style="82" bestFit="1" customWidth="1"/>
    <col min="14856" max="14856" width="5.28515625" style="82" customWidth="1"/>
    <col min="14857" max="14857" width="8" style="82" bestFit="1" customWidth="1"/>
    <col min="14858" max="14858" width="8.42578125" style="82" customWidth="1"/>
    <col min="14859" max="14859" width="20.140625" style="82" customWidth="1"/>
    <col min="14860" max="14860" width="5.7109375" style="82" bestFit="1" customWidth="1"/>
    <col min="14861" max="15104" width="9.140625" style="82"/>
    <col min="15105" max="15105" width="6.28515625" style="82" customWidth="1"/>
    <col min="15106" max="15106" width="6.5703125" style="82" bestFit="1" customWidth="1"/>
    <col min="15107" max="15107" width="9" style="82" customWidth="1"/>
    <col min="15108" max="15108" width="9.28515625" style="82" customWidth="1"/>
    <col min="15109" max="15109" width="8.5703125" style="82" customWidth="1"/>
    <col min="15110" max="15110" width="11.140625" style="82" customWidth="1"/>
    <col min="15111" max="15111" width="8" style="82" bestFit="1" customWidth="1"/>
    <col min="15112" max="15112" width="5.28515625" style="82" customWidth="1"/>
    <col min="15113" max="15113" width="8" style="82" bestFit="1" customWidth="1"/>
    <col min="15114" max="15114" width="8.42578125" style="82" customWidth="1"/>
    <col min="15115" max="15115" width="20.140625" style="82" customWidth="1"/>
    <col min="15116" max="15116" width="5.7109375" style="82" bestFit="1" customWidth="1"/>
    <col min="15117" max="15360" width="9.140625" style="82"/>
    <col min="15361" max="15361" width="6.28515625" style="82" customWidth="1"/>
    <col min="15362" max="15362" width="6.5703125" style="82" bestFit="1" customWidth="1"/>
    <col min="15363" max="15363" width="9" style="82" customWidth="1"/>
    <col min="15364" max="15364" width="9.28515625" style="82" customWidth="1"/>
    <col min="15365" max="15365" width="8.5703125" style="82" customWidth="1"/>
    <col min="15366" max="15366" width="11.140625" style="82" customWidth="1"/>
    <col min="15367" max="15367" width="8" style="82" bestFit="1" customWidth="1"/>
    <col min="15368" max="15368" width="5.28515625" style="82" customWidth="1"/>
    <col min="15369" max="15369" width="8" style="82" bestFit="1" customWidth="1"/>
    <col min="15370" max="15370" width="8.42578125" style="82" customWidth="1"/>
    <col min="15371" max="15371" width="20.140625" style="82" customWidth="1"/>
    <col min="15372" max="15372" width="5.7109375" style="82" bestFit="1" customWidth="1"/>
    <col min="15373" max="15616" width="9.140625" style="82"/>
    <col min="15617" max="15617" width="6.28515625" style="82" customWidth="1"/>
    <col min="15618" max="15618" width="6.5703125" style="82" bestFit="1" customWidth="1"/>
    <col min="15619" max="15619" width="9" style="82" customWidth="1"/>
    <col min="15620" max="15620" width="9.28515625" style="82" customWidth="1"/>
    <col min="15621" max="15621" width="8.5703125" style="82" customWidth="1"/>
    <col min="15622" max="15622" width="11.140625" style="82" customWidth="1"/>
    <col min="15623" max="15623" width="8" style="82" bestFit="1" customWidth="1"/>
    <col min="15624" max="15624" width="5.28515625" style="82" customWidth="1"/>
    <col min="15625" max="15625" width="8" style="82" bestFit="1" customWidth="1"/>
    <col min="15626" max="15626" width="8.42578125" style="82" customWidth="1"/>
    <col min="15627" max="15627" width="20.140625" style="82" customWidth="1"/>
    <col min="15628" max="15628" width="5.7109375" style="82" bestFit="1" customWidth="1"/>
    <col min="15629" max="15872" width="9.140625" style="82"/>
    <col min="15873" max="15873" width="6.28515625" style="82" customWidth="1"/>
    <col min="15874" max="15874" width="6.5703125" style="82" bestFit="1" customWidth="1"/>
    <col min="15875" max="15875" width="9" style="82" customWidth="1"/>
    <col min="15876" max="15876" width="9.28515625" style="82" customWidth="1"/>
    <col min="15877" max="15877" width="8.5703125" style="82" customWidth="1"/>
    <col min="15878" max="15878" width="11.140625" style="82" customWidth="1"/>
    <col min="15879" max="15879" width="8" style="82" bestFit="1" customWidth="1"/>
    <col min="15880" max="15880" width="5.28515625" style="82" customWidth="1"/>
    <col min="15881" max="15881" width="8" style="82" bestFit="1" customWidth="1"/>
    <col min="15882" max="15882" width="8.42578125" style="82" customWidth="1"/>
    <col min="15883" max="15883" width="20.140625" style="82" customWidth="1"/>
    <col min="15884" max="15884" width="5.7109375" style="82" bestFit="1" customWidth="1"/>
    <col min="15885" max="16128" width="9.140625" style="82"/>
    <col min="16129" max="16129" width="6.28515625" style="82" customWidth="1"/>
    <col min="16130" max="16130" width="6.5703125" style="82" bestFit="1" customWidth="1"/>
    <col min="16131" max="16131" width="9" style="82" customWidth="1"/>
    <col min="16132" max="16132" width="9.28515625" style="82" customWidth="1"/>
    <col min="16133" max="16133" width="8.5703125" style="82" customWidth="1"/>
    <col min="16134" max="16134" width="11.140625" style="82" customWidth="1"/>
    <col min="16135" max="16135" width="8" style="82" bestFit="1" customWidth="1"/>
    <col min="16136" max="16136" width="5.28515625" style="82" customWidth="1"/>
    <col min="16137" max="16137" width="8" style="82" bestFit="1" customWidth="1"/>
    <col min="16138" max="16138" width="8.42578125" style="82" customWidth="1"/>
    <col min="16139" max="16139" width="20.140625" style="82" customWidth="1"/>
    <col min="16140" max="16140" width="5.7109375" style="82" bestFit="1" customWidth="1"/>
    <col min="16141" max="16384" width="9.140625" style="82"/>
  </cols>
  <sheetData>
    <row r="1" spans="1:226" ht="3" customHeight="1" thickBot="1"/>
    <row r="2" spans="1:226" ht="25.5" customHeight="1">
      <c r="A2" s="83"/>
      <c r="B2" s="84"/>
      <c r="C2" s="701" t="s">
        <v>163</v>
      </c>
      <c r="D2" s="701"/>
      <c r="E2" s="701"/>
      <c r="F2" s="701"/>
      <c r="G2" s="701"/>
      <c r="H2" s="701"/>
      <c r="I2" s="701"/>
      <c r="J2" s="701"/>
      <c r="K2" s="702"/>
    </row>
    <row r="3" spans="1:226" ht="25.5" customHeight="1" thickBot="1">
      <c r="A3" s="85"/>
      <c r="B3" s="86"/>
      <c r="C3" s="703" t="s">
        <v>164</v>
      </c>
      <c r="D3" s="703"/>
      <c r="E3" s="703"/>
      <c r="F3" s="703"/>
      <c r="G3" s="703"/>
      <c r="H3" s="703"/>
      <c r="I3" s="703"/>
      <c r="J3" s="703"/>
      <c r="K3" s="704"/>
    </row>
    <row r="4" spans="1:226" ht="4.5" customHeight="1" thickBot="1">
      <c r="A4" s="87"/>
      <c r="B4" s="88"/>
      <c r="C4" s="88"/>
      <c r="D4" s="88"/>
      <c r="E4" s="88"/>
      <c r="F4" s="89"/>
      <c r="G4" s="89"/>
      <c r="H4" s="89"/>
      <c r="I4" s="89"/>
      <c r="J4" s="89"/>
      <c r="K4" s="89"/>
    </row>
    <row r="5" spans="1:226" s="91" customFormat="1" ht="12.75" customHeight="1">
      <c r="A5" s="705" t="s">
        <v>179</v>
      </c>
      <c r="B5" s="706"/>
      <c r="C5" s="706"/>
      <c r="D5" s="706"/>
      <c r="E5" s="707" t="s">
        <v>113</v>
      </c>
      <c r="F5" s="708"/>
      <c r="G5" s="709"/>
      <c r="H5" s="708" t="s">
        <v>137</v>
      </c>
      <c r="I5" s="708"/>
      <c r="J5" s="708"/>
      <c r="K5" s="710"/>
      <c r="L5" s="90"/>
      <c r="M5" s="90"/>
      <c r="N5" s="90"/>
    </row>
    <row r="6" spans="1:226" s="91" customFormat="1" ht="12.75" customHeight="1" thickBot="1">
      <c r="A6" s="711" t="s">
        <v>180</v>
      </c>
      <c r="B6" s="712"/>
      <c r="C6" s="712"/>
      <c r="D6" s="712"/>
      <c r="E6" s="713" t="s">
        <v>114</v>
      </c>
      <c r="F6" s="714"/>
      <c r="G6" s="715"/>
      <c r="H6" s="716" t="e">
        <f>#REF!</f>
        <v>#REF!</v>
      </c>
      <c r="I6" s="716"/>
      <c r="J6" s="716"/>
      <c r="K6" s="92" t="s">
        <v>36</v>
      </c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</row>
    <row r="7" spans="1:226" s="94" customFormat="1" ht="4.5" customHeight="1" thickBot="1">
      <c r="A7" s="87"/>
      <c r="B7" s="88"/>
      <c r="C7" s="88"/>
      <c r="D7" s="88"/>
      <c r="E7" s="88"/>
      <c r="F7" s="89"/>
      <c r="G7" s="89"/>
      <c r="H7" s="89"/>
      <c r="I7" s="89"/>
      <c r="J7" s="89"/>
      <c r="K7" s="89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</row>
    <row r="8" spans="1:226" s="95" customFormat="1" ht="13.5" customHeight="1">
      <c r="A8" s="694" t="s">
        <v>138</v>
      </c>
      <c r="B8" s="695"/>
      <c r="C8" s="695"/>
      <c r="D8" s="695"/>
      <c r="E8" s="695"/>
      <c r="F8" s="695"/>
      <c r="G8" s="695"/>
      <c r="H8" s="695"/>
      <c r="I8" s="695"/>
      <c r="J8" s="695"/>
      <c r="K8" s="696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</row>
    <row r="9" spans="1:226" ht="13.5" customHeight="1">
      <c r="A9" s="96" t="s">
        <v>139</v>
      </c>
      <c r="B9" s="97" t="s">
        <v>140</v>
      </c>
      <c r="C9" s="97" t="s">
        <v>141</v>
      </c>
      <c r="D9" s="97" t="s">
        <v>142</v>
      </c>
      <c r="E9" s="97" t="s">
        <v>143</v>
      </c>
      <c r="F9" s="97" t="s">
        <v>144</v>
      </c>
      <c r="G9" s="97" t="s">
        <v>145</v>
      </c>
      <c r="H9" s="97" t="s">
        <v>37</v>
      </c>
      <c r="I9" s="97" t="s">
        <v>146</v>
      </c>
      <c r="J9" s="97" t="s">
        <v>147</v>
      </c>
      <c r="K9" s="98" t="s">
        <v>148</v>
      </c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</row>
    <row r="10" spans="1:226" s="93" customFormat="1" ht="13.5" thickBot="1">
      <c r="A10" s="99">
        <v>1</v>
      </c>
      <c r="B10" s="100">
        <v>866</v>
      </c>
      <c r="C10" s="101">
        <f>BACIAS!G5</f>
        <v>0.264293</v>
      </c>
      <c r="D10" s="101">
        <v>16</v>
      </c>
      <c r="E10" s="101">
        <v>13.722</v>
      </c>
      <c r="F10" s="102">
        <f>(D10-E10)/(B10/1000)</f>
        <v>2.6304849884526567</v>
      </c>
      <c r="G10" s="103">
        <v>25</v>
      </c>
      <c r="H10" s="104">
        <f>57*(((B10/1000)^2/(F10))^0.385)</f>
        <v>35.160078728538743</v>
      </c>
      <c r="I10" s="101">
        <f>(3445.7*G10^0.138)/(H10+26)^1.012</f>
        <v>83.615642625866741</v>
      </c>
      <c r="J10" s="105">
        <v>0.25</v>
      </c>
      <c r="K10" s="106">
        <f>(J10*I10*C10)/3.6</f>
        <v>1.5346547942026527</v>
      </c>
    </row>
    <row r="11" spans="1:226" s="93" customFormat="1" ht="6" customHeight="1" thickBot="1">
      <c r="A11" s="107"/>
      <c r="B11" s="108"/>
      <c r="C11" s="108"/>
      <c r="D11" s="108"/>
      <c r="E11" s="108"/>
      <c r="F11" s="109"/>
      <c r="G11" s="110"/>
      <c r="H11" s="111"/>
      <c r="I11" s="112"/>
      <c r="J11" s="109"/>
      <c r="K11" s="113"/>
    </row>
    <row r="12" spans="1:226" s="93" customFormat="1" ht="13.5" thickBot="1">
      <c r="A12" s="697" t="s">
        <v>149</v>
      </c>
      <c r="B12" s="698"/>
      <c r="C12" s="698"/>
      <c r="D12" s="698"/>
      <c r="E12" s="698"/>
      <c r="F12" s="698"/>
      <c r="G12" s="698"/>
      <c r="H12" s="698"/>
      <c r="I12" s="698"/>
      <c r="J12" s="698"/>
      <c r="K12" s="699"/>
    </row>
    <row r="13" spans="1:226" s="93" customFormat="1" ht="12.75" customHeight="1">
      <c r="A13" s="700" t="s">
        <v>150</v>
      </c>
      <c r="B13" s="693"/>
      <c r="C13" s="693"/>
      <c r="D13" s="114" t="s">
        <v>140</v>
      </c>
      <c r="E13" s="693" t="s">
        <v>142</v>
      </c>
      <c r="F13" s="693"/>
      <c r="G13" s="693" t="s">
        <v>143</v>
      </c>
      <c r="H13" s="693"/>
      <c r="I13" s="693" t="s">
        <v>151</v>
      </c>
      <c r="J13" s="693"/>
      <c r="K13" s="115" t="s">
        <v>152</v>
      </c>
    </row>
    <row r="14" spans="1:226" s="93" customFormat="1" ht="13.5" thickBot="1">
      <c r="A14" s="99">
        <v>30</v>
      </c>
      <c r="B14" s="103" t="s">
        <v>41</v>
      </c>
      <c r="C14" s="104">
        <v>6</v>
      </c>
      <c r="D14" s="104">
        <v>13</v>
      </c>
      <c r="E14" s="691">
        <f>E10</f>
        <v>13.722</v>
      </c>
      <c r="F14" s="691"/>
      <c r="G14" s="691">
        <v>13.45</v>
      </c>
      <c r="H14" s="691"/>
      <c r="I14" s="692">
        <f>(E14-G14)/D14</f>
        <v>2.092307692307694E-2</v>
      </c>
      <c r="J14" s="692"/>
      <c r="K14" s="116" t="s">
        <v>181</v>
      </c>
      <c r="M14" s="117"/>
      <c r="N14" s="118"/>
    </row>
    <row r="15" spans="1:226" s="93" customFormat="1">
      <c r="A15" s="83"/>
      <c r="B15" s="84"/>
      <c r="C15" s="84"/>
      <c r="D15" s="84"/>
      <c r="E15" s="84"/>
      <c r="F15" s="119"/>
      <c r="G15" s="120"/>
      <c r="H15" s="121"/>
      <c r="I15" s="122"/>
      <c r="J15" s="119"/>
      <c r="K15" s="123" t="s">
        <v>153</v>
      </c>
    </row>
    <row r="16" spans="1:226" s="93" customFormat="1" ht="12.75" customHeight="1">
      <c r="A16" s="124"/>
      <c r="B16" s="125"/>
      <c r="C16" s="125"/>
      <c r="D16" s="125"/>
      <c r="E16" s="125"/>
      <c r="F16" s="126"/>
      <c r="G16" s="127"/>
      <c r="H16" s="128"/>
      <c r="I16" s="129"/>
      <c r="J16" s="126"/>
      <c r="K16" s="130"/>
    </row>
    <row r="17" spans="1:11" s="93" customFormat="1">
      <c r="A17" s="124"/>
      <c r="B17" s="125"/>
      <c r="C17" s="125"/>
      <c r="D17" s="125"/>
      <c r="E17" s="125"/>
      <c r="F17" s="126"/>
      <c r="G17" s="127"/>
      <c r="H17" s="128"/>
      <c r="I17" s="129"/>
      <c r="J17" s="126"/>
      <c r="K17" s="130"/>
    </row>
    <row r="18" spans="1:11" s="93" customFormat="1">
      <c r="A18" s="124"/>
      <c r="B18" s="125"/>
      <c r="C18" s="125"/>
      <c r="D18" s="125"/>
      <c r="E18" s="125"/>
      <c r="F18" s="126"/>
      <c r="G18" s="127"/>
      <c r="H18" s="128"/>
      <c r="I18" s="129"/>
      <c r="J18" s="126"/>
      <c r="K18" s="130"/>
    </row>
    <row r="19" spans="1:11" s="93" customFormat="1">
      <c r="A19" s="124"/>
      <c r="B19" s="125"/>
      <c r="C19" s="125"/>
      <c r="D19" s="125"/>
      <c r="E19" s="125"/>
      <c r="F19" s="126"/>
      <c r="G19" s="127"/>
      <c r="H19" s="128"/>
      <c r="I19" s="129"/>
      <c r="J19" s="126"/>
      <c r="K19" s="130"/>
    </row>
    <row r="20" spans="1:11" s="93" customFormat="1">
      <c r="A20" s="124"/>
      <c r="B20" s="125"/>
      <c r="C20" s="125"/>
      <c r="D20" s="125"/>
      <c r="E20" s="125"/>
      <c r="F20" s="126"/>
      <c r="G20" s="127"/>
      <c r="H20" s="128"/>
      <c r="I20" s="129"/>
      <c r="J20" s="126"/>
      <c r="K20" s="130"/>
    </row>
    <row r="21" spans="1:11" s="93" customFormat="1">
      <c r="A21" s="124"/>
      <c r="B21" s="125"/>
      <c r="C21" s="125"/>
      <c r="D21" s="125"/>
      <c r="E21" s="125"/>
      <c r="F21" s="126"/>
      <c r="G21" s="127"/>
      <c r="H21" s="128"/>
      <c r="I21" s="129"/>
      <c r="J21" s="126"/>
      <c r="K21" s="130"/>
    </row>
    <row r="22" spans="1:11" s="93" customFormat="1">
      <c r="A22" s="124"/>
      <c r="B22" s="125"/>
      <c r="C22" s="125"/>
      <c r="D22" s="125"/>
      <c r="E22" s="125"/>
      <c r="F22" s="126"/>
      <c r="G22" s="127"/>
      <c r="H22" s="128"/>
      <c r="I22" s="129"/>
      <c r="J22" s="126"/>
      <c r="K22" s="130"/>
    </row>
    <row r="23" spans="1:11" s="93" customFormat="1">
      <c r="A23" s="124"/>
      <c r="B23" s="125"/>
      <c r="C23" s="125"/>
      <c r="D23" s="125"/>
      <c r="E23" s="125"/>
      <c r="F23" s="126"/>
      <c r="G23" s="127"/>
      <c r="H23" s="128"/>
      <c r="I23" s="129"/>
      <c r="J23" s="126"/>
      <c r="K23" s="130"/>
    </row>
    <row r="24" spans="1:11" s="93" customFormat="1">
      <c r="A24" s="124"/>
      <c r="B24" s="125"/>
      <c r="C24" s="125"/>
      <c r="D24" s="125"/>
      <c r="E24" s="125"/>
      <c r="F24" s="126"/>
      <c r="G24" s="127"/>
      <c r="H24" s="128"/>
      <c r="I24" s="129"/>
      <c r="J24" s="126"/>
      <c r="K24" s="130"/>
    </row>
    <row r="25" spans="1:11" s="93" customFormat="1">
      <c r="A25" s="124"/>
      <c r="B25" s="125"/>
      <c r="C25" s="125"/>
      <c r="D25" s="125"/>
      <c r="E25" s="125"/>
      <c r="F25" s="126"/>
      <c r="G25" s="127"/>
      <c r="H25" s="128"/>
      <c r="I25" s="129"/>
      <c r="J25" s="126"/>
      <c r="K25" s="130"/>
    </row>
    <row r="26" spans="1:11" s="93" customFormat="1">
      <c r="A26" s="124"/>
      <c r="B26" s="125"/>
      <c r="C26" s="125"/>
      <c r="D26" s="125"/>
      <c r="E26" s="125"/>
      <c r="F26" s="126"/>
      <c r="G26" s="127"/>
      <c r="H26" s="128"/>
      <c r="I26" s="129"/>
      <c r="J26" s="126"/>
      <c r="K26" s="130"/>
    </row>
    <row r="27" spans="1:11" s="93" customFormat="1">
      <c r="A27" s="124"/>
      <c r="B27" s="125"/>
      <c r="C27" s="125"/>
      <c r="D27" s="125"/>
      <c r="E27" s="125"/>
      <c r="F27" s="126"/>
      <c r="G27" s="127"/>
      <c r="H27" s="128"/>
      <c r="I27" s="129"/>
      <c r="J27" s="126"/>
      <c r="K27" s="130"/>
    </row>
    <row r="28" spans="1:11" s="93" customFormat="1">
      <c r="A28" s="124"/>
      <c r="B28" s="125"/>
      <c r="C28" s="125"/>
      <c r="D28" s="125"/>
      <c r="E28" s="125"/>
      <c r="F28" s="126"/>
      <c r="G28" s="127"/>
      <c r="H28" s="128"/>
      <c r="I28" s="129"/>
      <c r="J28" s="126"/>
      <c r="K28" s="130"/>
    </row>
    <row r="29" spans="1:11" s="93" customFormat="1">
      <c r="A29" s="124"/>
      <c r="B29" s="125"/>
      <c r="C29" s="125"/>
      <c r="D29" s="125"/>
      <c r="E29" s="125"/>
      <c r="F29" s="126"/>
      <c r="G29" s="127"/>
      <c r="H29" s="128"/>
      <c r="I29" s="129"/>
      <c r="J29" s="126"/>
      <c r="K29" s="130"/>
    </row>
    <row r="30" spans="1:11" s="93" customFormat="1">
      <c r="A30" s="124"/>
      <c r="B30" s="125"/>
      <c r="C30" s="125"/>
      <c r="D30" s="125"/>
      <c r="E30" s="125"/>
      <c r="F30" s="126"/>
      <c r="G30" s="127"/>
      <c r="H30" s="128"/>
      <c r="I30" s="129"/>
      <c r="J30" s="126"/>
      <c r="K30" s="130"/>
    </row>
    <row r="31" spans="1:11" s="93" customFormat="1">
      <c r="A31" s="124"/>
      <c r="B31" s="125"/>
      <c r="C31" s="125"/>
      <c r="D31" s="125"/>
      <c r="E31" s="125"/>
      <c r="F31" s="126"/>
      <c r="G31" s="127"/>
      <c r="H31" s="128"/>
      <c r="I31" s="129"/>
      <c r="J31" s="126"/>
      <c r="K31" s="130"/>
    </row>
    <row r="32" spans="1:11" s="93" customFormat="1">
      <c r="A32" s="124"/>
      <c r="B32" s="125"/>
      <c r="C32" s="125"/>
      <c r="D32" s="125"/>
      <c r="E32" s="125"/>
      <c r="F32" s="126"/>
      <c r="G32" s="127"/>
      <c r="H32" s="128"/>
      <c r="I32" s="129"/>
      <c r="J32" s="126"/>
      <c r="K32" s="130"/>
    </row>
    <row r="33" spans="1:226" s="93" customFormat="1">
      <c r="A33" s="124"/>
      <c r="B33" s="125"/>
      <c r="C33" s="125"/>
      <c r="D33" s="125"/>
      <c r="E33" s="125"/>
      <c r="F33" s="126"/>
      <c r="G33" s="127"/>
      <c r="H33" s="128"/>
      <c r="I33" s="129"/>
      <c r="J33" s="126"/>
      <c r="K33" s="130"/>
    </row>
    <row r="34" spans="1:226" s="93" customFormat="1">
      <c r="A34" s="124"/>
      <c r="B34" s="125"/>
      <c r="C34" s="125"/>
      <c r="D34" s="125"/>
      <c r="E34" s="125"/>
      <c r="F34" s="126"/>
      <c r="G34" s="127"/>
      <c r="H34" s="128"/>
      <c r="I34" s="129"/>
      <c r="J34" s="126"/>
      <c r="K34" s="130"/>
    </row>
    <row r="35" spans="1:226" s="93" customFormat="1">
      <c r="A35" s="124"/>
      <c r="B35" s="125"/>
      <c r="C35" s="125"/>
      <c r="D35" s="125"/>
      <c r="E35" s="125"/>
      <c r="F35" s="126"/>
      <c r="G35" s="127"/>
      <c r="H35" s="128"/>
      <c r="I35" s="129"/>
      <c r="J35" s="126"/>
      <c r="K35" s="130"/>
    </row>
    <row r="36" spans="1:226" s="93" customFormat="1">
      <c r="A36" s="124"/>
      <c r="B36" s="125"/>
      <c r="C36" s="125"/>
      <c r="D36" s="125"/>
      <c r="E36" s="125"/>
      <c r="F36" s="126"/>
      <c r="G36" s="127"/>
      <c r="H36" s="128"/>
      <c r="I36" s="129"/>
      <c r="J36" s="126"/>
      <c r="K36" s="130"/>
    </row>
    <row r="37" spans="1:226" s="93" customFormat="1" ht="13.5" thickBot="1">
      <c r="A37" s="85"/>
      <c r="B37" s="86"/>
      <c r="C37" s="86"/>
      <c r="D37" s="86"/>
      <c r="E37" s="86"/>
      <c r="F37" s="131"/>
      <c r="G37" s="131"/>
      <c r="H37" s="131"/>
      <c r="I37" s="131"/>
      <c r="J37" s="132"/>
      <c r="K37" s="133"/>
    </row>
    <row r="38" spans="1:226" s="95" customFormat="1" ht="13.5" customHeight="1">
      <c r="A38" s="694" t="s">
        <v>138</v>
      </c>
      <c r="B38" s="695"/>
      <c r="C38" s="695"/>
      <c r="D38" s="695"/>
      <c r="E38" s="695"/>
      <c r="F38" s="695"/>
      <c r="G38" s="695"/>
      <c r="H38" s="695"/>
      <c r="I38" s="695"/>
      <c r="J38" s="695"/>
      <c r="K38" s="696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3"/>
      <c r="FF38" s="93"/>
      <c r="FG38" s="93"/>
      <c r="FH38" s="93"/>
      <c r="FI38" s="93"/>
      <c r="FJ38" s="93"/>
      <c r="FK38" s="93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  <c r="GF38" s="93"/>
      <c r="GG38" s="93"/>
      <c r="GH38" s="93"/>
      <c r="GI38" s="93"/>
      <c r="GJ38" s="93"/>
      <c r="GK38" s="93"/>
      <c r="GL38" s="93"/>
      <c r="GM38" s="93"/>
      <c r="GN38" s="93"/>
      <c r="GO38" s="93"/>
      <c r="GP38" s="93"/>
      <c r="GQ38" s="93"/>
      <c r="GR38" s="93"/>
      <c r="GS38" s="93"/>
      <c r="GT38" s="93"/>
      <c r="GU38" s="93"/>
      <c r="GV38" s="93"/>
      <c r="GW38" s="93"/>
      <c r="GX38" s="93"/>
      <c r="GY38" s="93"/>
      <c r="GZ38" s="93"/>
      <c r="HA38" s="93"/>
      <c r="HB38" s="93"/>
      <c r="HC38" s="93"/>
      <c r="HD38" s="93"/>
      <c r="HE38" s="93"/>
      <c r="HF38" s="93"/>
      <c r="HG38" s="93"/>
      <c r="HH38" s="93"/>
      <c r="HI38" s="93"/>
      <c r="HJ38" s="93"/>
      <c r="HK38" s="93"/>
      <c r="HL38" s="93"/>
      <c r="HM38" s="93"/>
      <c r="HN38" s="93"/>
      <c r="HO38" s="93"/>
      <c r="HP38" s="93"/>
      <c r="HQ38" s="93"/>
      <c r="HR38" s="93"/>
    </row>
    <row r="39" spans="1:226" ht="13.5" customHeight="1">
      <c r="A39" s="96" t="s">
        <v>139</v>
      </c>
      <c r="B39" s="97" t="s">
        <v>140</v>
      </c>
      <c r="C39" s="97" t="s">
        <v>141</v>
      </c>
      <c r="D39" s="97" t="s">
        <v>142</v>
      </c>
      <c r="E39" s="97" t="s">
        <v>143</v>
      </c>
      <c r="F39" s="97" t="s">
        <v>144</v>
      </c>
      <c r="G39" s="97" t="s">
        <v>145</v>
      </c>
      <c r="H39" s="97" t="s">
        <v>37</v>
      </c>
      <c r="I39" s="97" t="s">
        <v>146</v>
      </c>
      <c r="J39" s="97" t="s">
        <v>147</v>
      </c>
      <c r="K39" s="98" t="s">
        <v>148</v>
      </c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  <c r="GF39" s="93"/>
      <c r="GG39" s="93"/>
      <c r="GH39" s="93"/>
      <c r="GI39" s="93"/>
      <c r="GJ39" s="93"/>
      <c r="GK39" s="93"/>
      <c r="GL39" s="93"/>
      <c r="GM39" s="93"/>
      <c r="GN39" s="93"/>
      <c r="GO39" s="93"/>
      <c r="GP39" s="93"/>
      <c r="GQ39" s="93"/>
      <c r="GR39" s="93"/>
      <c r="GS39" s="93"/>
      <c r="GT39" s="93"/>
      <c r="GU39" s="93"/>
      <c r="GV39" s="93"/>
      <c r="GW39" s="93"/>
      <c r="GX39" s="93"/>
      <c r="GY39" s="93"/>
      <c r="GZ39" s="93"/>
      <c r="HA39" s="93"/>
      <c r="HB39" s="93"/>
      <c r="HC39" s="93"/>
      <c r="HD39" s="93"/>
      <c r="HE39" s="93"/>
      <c r="HF39" s="93"/>
      <c r="HG39" s="93"/>
      <c r="HH39" s="93"/>
      <c r="HI39" s="93"/>
      <c r="HJ39" s="93"/>
      <c r="HK39" s="93"/>
      <c r="HL39" s="93"/>
      <c r="HM39" s="93"/>
      <c r="HN39" s="93"/>
      <c r="HO39" s="93"/>
      <c r="HP39" s="93"/>
      <c r="HQ39" s="93"/>
      <c r="HR39" s="93"/>
    </row>
    <row r="40" spans="1:226" s="93" customFormat="1" ht="13.5" thickBot="1">
      <c r="A40" s="99">
        <v>2</v>
      </c>
      <c r="B40" s="100">
        <v>900</v>
      </c>
      <c r="C40" s="101">
        <f>BACIAS!G6</f>
        <v>0.17380799999999999</v>
      </c>
      <c r="D40" s="101">
        <v>15</v>
      </c>
      <c r="E40" s="101">
        <v>13.157999999999999</v>
      </c>
      <c r="F40" s="102">
        <f>(D40-E40)/(B40/1000)</f>
        <v>2.0466666666666673</v>
      </c>
      <c r="G40" s="103">
        <v>25</v>
      </c>
      <c r="H40" s="104">
        <f>57*(((B40/1000)^2/(F40))^0.385)</f>
        <v>39.892242290557796</v>
      </c>
      <c r="I40" s="101">
        <f>(3445.7*G40^0.138)/(H40+26)^1.012</f>
        <v>77.541265748726843</v>
      </c>
      <c r="J40" s="105">
        <v>0.25</v>
      </c>
      <c r="K40" s="106">
        <f>(J40*I40*C40)/3.6</f>
        <v>0.935923077587133</v>
      </c>
    </row>
    <row r="41" spans="1:226" s="93" customFormat="1" ht="6" customHeight="1" thickBot="1">
      <c r="A41" s="107"/>
      <c r="B41" s="108"/>
      <c r="C41" s="108"/>
      <c r="D41" s="108"/>
      <c r="E41" s="108"/>
      <c r="F41" s="109"/>
      <c r="G41" s="110"/>
      <c r="H41" s="111"/>
      <c r="I41" s="112"/>
      <c r="J41" s="109"/>
      <c r="K41" s="113"/>
    </row>
    <row r="42" spans="1:226" s="93" customFormat="1" ht="13.5" thickBot="1">
      <c r="A42" s="697" t="s">
        <v>149</v>
      </c>
      <c r="B42" s="698"/>
      <c r="C42" s="698"/>
      <c r="D42" s="698"/>
      <c r="E42" s="698"/>
      <c r="F42" s="698"/>
      <c r="G42" s="698"/>
      <c r="H42" s="698"/>
      <c r="I42" s="698"/>
      <c r="J42" s="698"/>
      <c r="K42" s="699"/>
    </row>
    <row r="43" spans="1:226" s="93" customFormat="1" ht="12.75" customHeight="1">
      <c r="A43" s="700" t="s">
        <v>150</v>
      </c>
      <c r="B43" s="693"/>
      <c r="C43" s="693"/>
      <c r="D43" s="114" t="s">
        <v>140</v>
      </c>
      <c r="E43" s="693" t="s">
        <v>142</v>
      </c>
      <c r="F43" s="693"/>
      <c r="G43" s="693" t="s">
        <v>143</v>
      </c>
      <c r="H43" s="693"/>
      <c r="I43" s="693" t="s">
        <v>151</v>
      </c>
      <c r="J43" s="693"/>
      <c r="K43" s="115" t="s">
        <v>152</v>
      </c>
    </row>
    <row r="44" spans="1:226" s="93" customFormat="1" ht="13.5" thickBot="1">
      <c r="A44" s="99">
        <v>50</v>
      </c>
      <c r="B44" s="103" t="s">
        <v>41</v>
      </c>
      <c r="C44" s="104">
        <v>0</v>
      </c>
      <c r="D44" s="104">
        <v>13</v>
      </c>
      <c r="E44" s="691">
        <f>E40</f>
        <v>13.157999999999999</v>
      </c>
      <c r="F44" s="691"/>
      <c r="G44" s="691">
        <v>12.898</v>
      </c>
      <c r="H44" s="691"/>
      <c r="I44" s="692">
        <f>(E44-G44)/D44</f>
        <v>1.9999999999999983E-2</v>
      </c>
      <c r="J44" s="692"/>
      <c r="K44" s="116" t="s">
        <v>181</v>
      </c>
      <c r="M44" s="117"/>
    </row>
    <row r="45" spans="1:226" s="93" customFormat="1">
      <c r="A45" s="124"/>
      <c r="B45" s="125"/>
      <c r="C45" s="125"/>
      <c r="D45" s="125"/>
      <c r="E45" s="125"/>
      <c r="F45" s="126"/>
      <c r="G45" s="127"/>
      <c r="H45" s="128"/>
      <c r="I45" s="129"/>
      <c r="J45" s="126"/>
      <c r="K45" s="123" t="s">
        <v>153</v>
      </c>
      <c r="N45" s="118"/>
    </row>
    <row r="46" spans="1:226" s="93" customFormat="1" ht="12.75" customHeight="1">
      <c r="A46" s="124"/>
      <c r="B46" s="125"/>
      <c r="C46" s="125"/>
      <c r="D46" s="125"/>
      <c r="E46" s="125"/>
      <c r="F46" s="126"/>
      <c r="G46" s="127"/>
      <c r="H46" s="128"/>
      <c r="I46" s="129"/>
      <c r="J46" s="126"/>
      <c r="K46" s="134"/>
    </row>
    <row r="47" spans="1:226" s="93" customFormat="1">
      <c r="A47" s="124"/>
      <c r="B47" s="125"/>
      <c r="C47" s="125"/>
      <c r="D47" s="125"/>
      <c r="E47" s="125"/>
      <c r="F47" s="126"/>
      <c r="G47" s="127"/>
      <c r="H47" s="128"/>
      <c r="I47" s="129"/>
      <c r="J47" s="126"/>
      <c r="K47" s="130"/>
    </row>
    <row r="48" spans="1:226" s="93" customFormat="1">
      <c r="A48" s="124"/>
      <c r="B48" s="125"/>
      <c r="C48" s="125"/>
      <c r="D48" s="125"/>
      <c r="E48" s="125"/>
      <c r="F48" s="126"/>
      <c r="G48" s="127"/>
      <c r="H48" s="128"/>
      <c r="I48" s="129"/>
      <c r="J48" s="126"/>
      <c r="K48" s="130"/>
    </row>
    <row r="49" spans="1:11" s="93" customFormat="1">
      <c r="A49" s="124"/>
      <c r="B49" s="125"/>
      <c r="C49" s="125"/>
      <c r="D49" s="125"/>
      <c r="E49" s="125"/>
      <c r="F49" s="126"/>
      <c r="G49" s="127"/>
      <c r="H49" s="128"/>
      <c r="I49" s="129"/>
      <c r="J49" s="126"/>
      <c r="K49" s="130"/>
    </row>
    <row r="50" spans="1:11" s="93" customFormat="1">
      <c r="A50" s="124"/>
      <c r="B50" s="125"/>
      <c r="C50" s="125"/>
      <c r="D50" s="125"/>
      <c r="E50" s="125"/>
      <c r="F50" s="126"/>
      <c r="G50" s="127"/>
      <c r="H50" s="128"/>
      <c r="I50" s="129"/>
      <c r="J50" s="126"/>
      <c r="K50" s="130"/>
    </row>
    <row r="51" spans="1:11" s="93" customFormat="1">
      <c r="A51" s="124"/>
      <c r="B51" s="125"/>
      <c r="C51" s="125"/>
      <c r="D51" s="125"/>
      <c r="E51" s="125"/>
      <c r="F51" s="126"/>
      <c r="G51" s="127"/>
      <c r="H51" s="128"/>
      <c r="I51" s="129"/>
      <c r="J51" s="126"/>
      <c r="K51" s="130"/>
    </row>
    <row r="52" spans="1:11" s="93" customFormat="1">
      <c r="A52" s="124"/>
      <c r="B52" s="125"/>
      <c r="C52" s="125"/>
      <c r="D52" s="125"/>
      <c r="E52" s="125"/>
      <c r="F52" s="126"/>
      <c r="G52" s="127"/>
      <c r="H52" s="128"/>
      <c r="I52" s="129"/>
      <c r="J52" s="126"/>
      <c r="K52" s="130"/>
    </row>
    <row r="53" spans="1:11" s="93" customFormat="1">
      <c r="A53" s="124"/>
      <c r="B53" s="125"/>
      <c r="C53" s="125"/>
      <c r="D53" s="125"/>
      <c r="E53" s="125"/>
      <c r="F53" s="126"/>
      <c r="G53" s="127"/>
      <c r="H53" s="128"/>
      <c r="I53" s="129"/>
      <c r="J53" s="126"/>
      <c r="K53" s="130"/>
    </row>
    <row r="54" spans="1:11" s="93" customFormat="1">
      <c r="A54" s="124"/>
      <c r="B54" s="125"/>
      <c r="C54" s="125"/>
      <c r="D54" s="125"/>
      <c r="E54" s="125"/>
      <c r="F54" s="126"/>
      <c r="G54" s="127"/>
      <c r="H54" s="128"/>
      <c r="I54" s="129"/>
      <c r="J54" s="126"/>
      <c r="K54" s="130"/>
    </row>
    <row r="55" spans="1:11" s="93" customFormat="1">
      <c r="A55" s="124"/>
      <c r="B55" s="125"/>
      <c r="C55" s="125"/>
      <c r="D55" s="125"/>
      <c r="E55" s="125"/>
      <c r="F55" s="126"/>
      <c r="G55" s="127"/>
      <c r="H55" s="128"/>
      <c r="I55" s="129"/>
      <c r="J55" s="126"/>
      <c r="K55" s="130"/>
    </row>
    <row r="56" spans="1:11" s="93" customFormat="1">
      <c r="A56" s="124"/>
      <c r="B56" s="125"/>
      <c r="C56" s="125"/>
      <c r="D56" s="125"/>
      <c r="E56" s="125"/>
      <c r="F56" s="126"/>
      <c r="G56" s="127"/>
      <c r="H56" s="128"/>
      <c r="I56" s="129"/>
      <c r="J56" s="126"/>
      <c r="K56" s="130"/>
    </row>
    <row r="57" spans="1:11" s="93" customFormat="1">
      <c r="A57" s="124"/>
      <c r="B57" s="125"/>
      <c r="C57" s="125"/>
      <c r="D57" s="125"/>
      <c r="E57" s="125"/>
      <c r="F57" s="126"/>
      <c r="G57" s="127"/>
      <c r="H57" s="128"/>
      <c r="I57" s="129"/>
      <c r="J57" s="126"/>
      <c r="K57" s="130"/>
    </row>
    <row r="58" spans="1:11" s="93" customFormat="1">
      <c r="A58" s="124"/>
      <c r="B58" s="125"/>
      <c r="C58" s="125"/>
      <c r="D58" s="125"/>
      <c r="E58" s="125"/>
      <c r="F58" s="126"/>
      <c r="G58" s="127"/>
      <c r="H58" s="128"/>
      <c r="I58" s="129"/>
      <c r="J58" s="126"/>
      <c r="K58" s="130"/>
    </row>
    <row r="59" spans="1:11" s="93" customFormat="1">
      <c r="A59" s="124"/>
      <c r="B59" s="125"/>
      <c r="C59" s="125"/>
      <c r="D59" s="125"/>
      <c r="E59" s="125"/>
      <c r="F59" s="126"/>
      <c r="G59" s="127"/>
      <c r="H59" s="128"/>
      <c r="I59" s="129"/>
      <c r="J59" s="126"/>
      <c r="K59" s="130"/>
    </row>
    <row r="60" spans="1:11" s="93" customFormat="1">
      <c r="A60" s="124"/>
      <c r="B60" s="125"/>
      <c r="C60" s="125"/>
      <c r="D60" s="125"/>
      <c r="E60" s="125"/>
      <c r="F60" s="126"/>
      <c r="G60" s="127"/>
      <c r="H60" s="128"/>
      <c r="I60" s="129"/>
      <c r="J60" s="126"/>
      <c r="K60" s="130"/>
    </row>
    <row r="61" spans="1:11" s="93" customFormat="1">
      <c r="A61" s="124"/>
      <c r="B61" s="125"/>
      <c r="C61" s="125"/>
      <c r="D61" s="125"/>
      <c r="E61" s="125"/>
      <c r="F61" s="126"/>
      <c r="G61" s="127"/>
      <c r="H61" s="128"/>
      <c r="I61" s="129"/>
      <c r="J61" s="126"/>
      <c r="K61" s="130"/>
    </row>
    <row r="62" spans="1:11" s="93" customFormat="1">
      <c r="A62" s="124"/>
      <c r="B62" s="125"/>
      <c r="C62" s="125"/>
      <c r="D62" s="125"/>
      <c r="E62" s="125"/>
      <c r="F62" s="126"/>
      <c r="G62" s="127"/>
      <c r="H62" s="128"/>
      <c r="I62" s="129"/>
      <c r="J62" s="126"/>
      <c r="K62" s="130"/>
    </row>
    <row r="63" spans="1:11" s="93" customFormat="1">
      <c r="A63" s="124"/>
      <c r="B63" s="125"/>
      <c r="C63" s="125"/>
      <c r="D63" s="125"/>
      <c r="E63" s="125"/>
      <c r="F63" s="126"/>
      <c r="G63" s="127"/>
      <c r="H63" s="128"/>
      <c r="I63" s="129"/>
      <c r="J63" s="126"/>
      <c r="K63" s="130"/>
    </row>
    <row r="64" spans="1:11" s="93" customFormat="1">
      <c r="A64" s="124"/>
      <c r="B64" s="125"/>
      <c r="C64" s="125"/>
      <c r="D64" s="125"/>
      <c r="E64" s="125"/>
      <c r="F64" s="126"/>
      <c r="G64" s="127"/>
      <c r="H64" s="128"/>
      <c r="I64" s="129"/>
      <c r="J64" s="126"/>
      <c r="K64" s="130"/>
    </row>
    <row r="65" spans="1:11" s="93" customFormat="1">
      <c r="A65" s="124"/>
      <c r="B65" s="125"/>
      <c r="C65" s="125"/>
      <c r="D65" s="125"/>
      <c r="E65" s="125"/>
      <c r="F65" s="126"/>
      <c r="G65" s="127"/>
      <c r="H65" s="128"/>
      <c r="I65" s="129"/>
      <c r="J65" s="126"/>
      <c r="K65" s="130"/>
    </row>
    <row r="66" spans="1:11" s="93" customFormat="1">
      <c r="A66" s="124"/>
      <c r="B66" s="125"/>
      <c r="C66" s="125"/>
      <c r="D66" s="125"/>
      <c r="E66" s="125"/>
      <c r="F66" s="126"/>
      <c r="G66" s="127"/>
      <c r="H66" s="128"/>
      <c r="I66" s="129"/>
      <c r="J66" s="126"/>
      <c r="K66" s="130"/>
    </row>
    <row r="67" spans="1:11" s="93" customFormat="1" ht="13.5" thickBot="1">
      <c r="A67" s="85"/>
      <c r="B67" s="86"/>
      <c r="C67" s="86"/>
      <c r="D67" s="86"/>
      <c r="E67" s="86"/>
      <c r="F67" s="131"/>
      <c r="G67" s="131"/>
      <c r="H67" s="131"/>
      <c r="I67" s="131"/>
      <c r="J67" s="132"/>
      <c r="K67" s="133"/>
    </row>
  </sheetData>
  <mergeCells count="26">
    <mergeCell ref="A6:D6"/>
    <mergeCell ref="E6:G6"/>
    <mergeCell ref="H6:J6"/>
    <mergeCell ref="A8:K8"/>
    <mergeCell ref="A12:K12"/>
    <mergeCell ref="C2:K2"/>
    <mergeCell ref="C3:K3"/>
    <mergeCell ref="A5:D5"/>
    <mergeCell ref="E5:G5"/>
    <mergeCell ref="H5:K5"/>
    <mergeCell ref="E44:F44"/>
    <mergeCell ref="G44:H44"/>
    <mergeCell ref="I44:J44"/>
    <mergeCell ref="G13:H13"/>
    <mergeCell ref="I13:J13"/>
    <mergeCell ref="G14:H14"/>
    <mergeCell ref="I14:J14"/>
    <mergeCell ref="E43:F43"/>
    <mergeCell ref="G43:H43"/>
    <mergeCell ref="I43:J43"/>
    <mergeCell ref="A38:K38"/>
    <mergeCell ref="A42:K42"/>
    <mergeCell ref="A43:C43"/>
    <mergeCell ref="E14:F14"/>
    <mergeCell ref="A13:C13"/>
    <mergeCell ref="E13:F13"/>
  </mergeCells>
  <printOptions horizontalCentered="1"/>
  <pageMargins left="0.59055118110236227" right="0.59055118110236227" top="0.78740157480314965" bottom="0.59055118110236227" header="0" footer="0"/>
  <pageSetup paperSize="9" scale="89" orientation="portrait" r:id="rId1"/>
  <headerFooter alignWithMargins="0">
    <oddFooter>&amp;CDarcio Pagani Vieira
Engenheiro Agrimensor
Crea/SC - 077.222-9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D4:G14"/>
  <sheetViews>
    <sheetView showGridLines="0" zoomScale="130" zoomScaleNormal="130" workbookViewId="0">
      <selection activeCell="G15" sqref="G15"/>
    </sheetView>
  </sheetViews>
  <sheetFormatPr defaultRowHeight="12.75"/>
  <cols>
    <col min="1" max="1" width="6.5703125" style="82" bestFit="1" customWidth="1"/>
    <col min="2" max="2" width="19.42578125" style="82" bestFit="1" customWidth="1"/>
    <col min="3" max="3" width="9.140625" style="82"/>
    <col min="4" max="4" width="5.5703125" style="138" bestFit="1" customWidth="1"/>
    <col min="5" max="5" width="23.7109375" style="138" bestFit="1" customWidth="1"/>
    <col min="6" max="6" width="23.5703125" style="82" hidden="1" customWidth="1"/>
    <col min="7" max="7" width="24.7109375" style="82" customWidth="1"/>
    <col min="8" max="8" width="22" style="82" bestFit="1" customWidth="1"/>
    <col min="9" max="256" width="9.140625" style="82"/>
    <col min="257" max="257" width="6.5703125" style="82" bestFit="1" customWidth="1"/>
    <col min="258" max="258" width="19.42578125" style="82" bestFit="1" customWidth="1"/>
    <col min="259" max="259" width="9.140625" style="82"/>
    <col min="260" max="260" width="5.5703125" style="82" bestFit="1" customWidth="1"/>
    <col min="261" max="261" width="23.7109375" style="82" bestFit="1" customWidth="1"/>
    <col min="262" max="262" width="0" style="82" hidden="1" customWidth="1"/>
    <col min="263" max="263" width="23.5703125" style="82" customWidth="1"/>
    <col min="264" max="264" width="22" style="82" bestFit="1" customWidth="1"/>
    <col min="265" max="512" width="9.140625" style="82"/>
    <col min="513" max="513" width="6.5703125" style="82" bestFit="1" customWidth="1"/>
    <col min="514" max="514" width="19.42578125" style="82" bestFit="1" customWidth="1"/>
    <col min="515" max="515" width="9.140625" style="82"/>
    <col min="516" max="516" width="5.5703125" style="82" bestFit="1" customWidth="1"/>
    <col min="517" max="517" width="23.7109375" style="82" bestFit="1" customWidth="1"/>
    <col min="518" max="518" width="0" style="82" hidden="1" customWidth="1"/>
    <col min="519" max="519" width="23.5703125" style="82" customWidth="1"/>
    <col min="520" max="520" width="22" style="82" bestFit="1" customWidth="1"/>
    <col min="521" max="768" width="9.140625" style="82"/>
    <col min="769" max="769" width="6.5703125" style="82" bestFit="1" customWidth="1"/>
    <col min="770" max="770" width="19.42578125" style="82" bestFit="1" customWidth="1"/>
    <col min="771" max="771" width="9.140625" style="82"/>
    <col min="772" max="772" width="5.5703125" style="82" bestFit="1" customWidth="1"/>
    <col min="773" max="773" width="23.7109375" style="82" bestFit="1" customWidth="1"/>
    <col min="774" max="774" width="0" style="82" hidden="1" customWidth="1"/>
    <col min="775" max="775" width="23.5703125" style="82" customWidth="1"/>
    <col min="776" max="776" width="22" style="82" bestFit="1" customWidth="1"/>
    <col min="777" max="1024" width="9.140625" style="82"/>
    <col min="1025" max="1025" width="6.5703125" style="82" bestFit="1" customWidth="1"/>
    <col min="1026" max="1026" width="19.42578125" style="82" bestFit="1" customWidth="1"/>
    <col min="1027" max="1027" width="9.140625" style="82"/>
    <col min="1028" max="1028" width="5.5703125" style="82" bestFit="1" customWidth="1"/>
    <col min="1029" max="1029" width="23.7109375" style="82" bestFit="1" customWidth="1"/>
    <col min="1030" max="1030" width="0" style="82" hidden="1" customWidth="1"/>
    <col min="1031" max="1031" width="23.5703125" style="82" customWidth="1"/>
    <col min="1032" max="1032" width="22" style="82" bestFit="1" customWidth="1"/>
    <col min="1033" max="1280" width="9.140625" style="82"/>
    <col min="1281" max="1281" width="6.5703125" style="82" bestFit="1" customWidth="1"/>
    <col min="1282" max="1282" width="19.42578125" style="82" bestFit="1" customWidth="1"/>
    <col min="1283" max="1283" width="9.140625" style="82"/>
    <col min="1284" max="1284" width="5.5703125" style="82" bestFit="1" customWidth="1"/>
    <col min="1285" max="1285" width="23.7109375" style="82" bestFit="1" customWidth="1"/>
    <col min="1286" max="1286" width="0" style="82" hidden="1" customWidth="1"/>
    <col min="1287" max="1287" width="23.5703125" style="82" customWidth="1"/>
    <col min="1288" max="1288" width="22" style="82" bestFit="1" customWidth="1"/>
    <col min="1289" max="1536" width="9.140625" style="82"/>
    <col min="1537" max="1537" width="6.5703125" style="82" bestFit="1" customWidth="1"/>
    <col min="1538" max="1538" width="19.42578125" style="82" bestFit="1" customWidth="1"/>
    <col min="1539" max="1539" width="9.140625" style="82"/>
    <col min="1540" max="1540" width="5.5703125" style="82" bestFit="1" customWidth="1"/>
    <col min="1541" max="1541" width="23.7109375" style="82" bestFit="1" customWidth="1"/>
    <col min="1542" max="1542" width="0" style="82" hidden="1" customWidth="1"/>
    <col min="1543" max="1543" width="23.5703125" style="82" customWidth="1"/>
    <col min="1544" max="1544" width="22" style="82" bestFit="1" customWidth="1"/>
    <col min="1545" max="1792" width="9.140625" style="82"/>
    <col min="1793" max="1793" width="6.5703125" style="82" bestFit="1" customWidth="1"/>
    <col min="1794" max="1794" width="19.42578125" style="82" bestFit="1" customWidth="1"/>
    <col min="1795" max="1795" width="9.140625" style="82"/>
    <col min="1796" max="1796" width="5.5703125" style="82" bestFit="1" customWidth="1"/>
    <col min="1797" max="1797" width="23.7109375" style="82" bestFit="1" customWidth="1"/>
    <col min="1798" max="1798" width="0" style="82" hidden="1" customWidth="1"/>
    <col min="1799" max="1799" width="23.5703125" style="82" customWidth="1"/>
    <col min="1800" max="1800" width="22" style="82" bestFit="1" customWidth="1"/>
    <col min="1801" max="2048" width="9.140625" style="82"/>
    <col min="2049" max="2049" width="6.5703125" style="82" bestFit="1" customWidth="1"/>
    <col min="2050" max="2050" width="19.42578125" style="82" bestFit="1" customWidth="1"/>
    <col min="2051" max="2051" width="9.140625" style="82"/>
    <col min="2052" max="2052" width="5.5703125" style="82" bestFit="1" customWidth="1"/>
    <col min="2053" max="2053" width="23.7109375" style="82" bestFit="1" customWidth="1"/>
    <col min="2054" max="2054" width="0" style="82" hidden="1" customWidth="1"/>
    <col min="2055" max="2055" width="23.5703125" style="82" customWidth="1"/>
    <col min="2056" max="2056" width="22" style="82" bestFit="1" customWidth="1"/>
    <col min="2057" max="2304" width="9.140625" style="82"/>
    <col min="2305" max="2305" width="6.5703125" style="82" bestFit="1" customWidth="1"/>
    <col min="2306" max="2306" width="19.42578125" style="82" bestFit="1" customWidth="1"/>
    <col min="2307" max="2307" width="9.140625" style="82"/>
    <col min="2308" max="2308" width="5.5703125" style="82" bestFit="1" customWidth="1"/>
    <col min="2309" max="2309" width="23.7109375" style="82" bestFit="1" customWidth="1"/>
    <col min="2310" max="2310" width="0" style="82" hidden="1" customWidth="1"/>
    <col min="2311" max="2311" width="23.5703125" style="82" customWidth="1"/>
    <col min="2312" max="2312" width="22" style="82" bestFit="1" customWidth="1"/>
    <col min="2313" max="2560" width="9.140625" style="82"/>
    <col min="2561" max="2561" width="6.5703125" style="82" bestFit="1" customWidth="1"/>
    <col min="2562" max="2562" width="19.42578125" style="82" bestFit="1" customWidth="1"/>
    <col min="2563" max="2563" width="9.140625" style="82"/>
    <col min="2564" max="2564" width="5.5703125" style="82" bestFit="1" customWidth="1"/>
    <col min="2565" max="2565" width="23.7109375" style="82" bestFit="1" customWidth="1"/>
    <col min="2566" max="2566" width="0" style="82" hidden="1" customWidth="1"/>
    <col min="2567" max="2567" width="23.5703125" style="82" customWidth="1"/>
    <col min="2568" max="2568" width="22" style="82" bestFit="1" customWidth="1"/>
    <col min="2569" max="2816" width="9.140625" style="82"/>
    <col min="2817" max="2817" width="6.5703125" style="82" bestFit="1" customWidth="1"/>
    <col min="2818" max="2818" width="19.42578125" style="82" bestFit="1" customWidth="1"/>
    <col min="2819" max="2819" width="9.140625" style="82"/>
    <col min="2820" max="2820" width="5.5703125" style="82" bestFit="1" customWidth="1"/>
    <col min="2821" max="2821" width="23.7109375" style="82" bestFit="1" customWidth="1"/>
    <col min="2822" max="2822" width="0" style="82" hidden="1" customWidth="1"/>
    <col min="2823" max="2823" width="23.5703125" style="82" customWidth="1"/>
    <col min="2824" max="2824" width="22" style="82" bestFit="1" customWidth="1"/>
    <col min="2825" max="3072" width="9.140625" style="82"/>
    <col min="3073" max="3073" width="6.5703125" style="82" bestFit="1" customWidth="1"/>
    <col min="3074" max="3074" width="19.42578125" style="82" bestFit="1" customWidth="1"/>
    <col min="3075" max="3075" width="9.140625" style="82"/>
    <col min="3076" max="3076" width="5.5703125" style="82" bestFit="1" customWidth="1"/>
    <col min="3077" max="3077" width="23.7109375" style="82" bestFit="1" customWidth="1"/>
    <col min="3078" max="3078" width="0" style="82" hidden="1" customWidth="1"/>
    <col min="3079" max="3079" width="23.5703125" style="82" customWidth="1"/>
    <col min="3080" max="3080" width="22" style="82" bestFit="1" customWidth="1"/>
    <col min="3081" max="3328" width="9.140625" style="82"/>
    <col min="3329" max="3329" width="6.5703125" style="82" bestFit="1" customWidth="1"/>
    <col min="3330" max="3330" width="19.42578125" style="82" bestFit="1" customWidth="1"/>
    <col min="3331" max="3331" width="9.140625" style="82"/>
    <col min="3332" max="3332" width="5.5703125" style="82" bestFit="1" customWidth="1"/>
    <col min="3333" max="3333" width="23.7109375" style="82" bestFit="1" customWidth="1"/>
    <col min="3334" max="3334" width="0" style="82" hidden="1" customWidth="1"/>
    <col min="3335" max="3335" width="23.5703125" style="82" customWidth="1"/>
    <col min="3336" max="3336" width="22" style="82" bestFit="1" customWidth="1"/>
    <col min="3337" max="3584" width="9.140625" style="82"/>
    <col min="3585" max="3585" width="6.5703125" style="82" bestFit="1" customWidth="1"/>
    <col min="3586" max="3586" width="19.42578125" style="82" bestFit="1" customWidth="1"/>
    <col min="3587" max="3587" width="9.140625" style="82"/>
    <col min="3588" max="3588" width="5.5703125" style="82" bestFit="1" customWidth="1"/>
    <col min="3589" max="3589" width="23.7109375" style="82" bestFit="1" customWidth="1"/>
    <col min="3590" max="3590" width="0" style="82" hidden="1" customWidth="1"/>
    <col min="3591" max="3591" width="23.5703125" style="82" customWidth="1"/>
    <col min="3592" max="3592" width="22" style="82" bestFit="1" customWidth="1"/>
    <col min="3593" max="3840" width="9.140625" style="82"/>
    <col min="3841" max="3841" width="6.5703125" style="82" bestFit="1" customWidth="1"/>
    <col min="3842" max="3842" width="19.42578125" style="82" bestFit="1" customWidth="1"/>
    <col min="3843" max="3843" width="9.140625" style="82"/>
    <col min="3844" max="3844" width="5.5703125" style="82" bestFit="1" customWidth="1"/>
    <col min="3845" max="3845" width="23.7109375" style="82" bestFit="1" customWidth="1"/>
    <col min="3846" max="3846" width="0" style="82" hidden="1" customWidth="1"/>
    <col min="3847" max="3847" width="23.5703125" style="82" customWidth="1"/>
    <col min="3848" max="3848" width="22" style="82" bestFit="1" customWidth="1"/>
    <col min="3849" max="4096" width="9.140625" style="82"/>
    <col min="4097" max="4097" width="6.5703125" style="82" bestFit="1" customWidth="1"/>
    <col min="4098" max="4098" width="19.42578125" style="82" bestFit="1" customWidth="1"/>
    <col min="4099" max="4099" width="9.140625" style="82"/>
    <col min="4100" max="4100" width="5.5703125" style="82" bestFit="1" customWidth="1"/>
    <col min="4101" max="4101" width="23.7109375" style="82" bestFit="1" customWidth="1"/>
    <col min="4102" max="4102" width="0" style="82" hidden="1" customWidth="1"/>
    <col min="4103" max="4103" width="23.5703125" style="82" customWidth="1"/>
    <col min="4104" max="4104" width="22" style="82" bestFit="1" customWidth="1"/>
    <col min="4105" max="4352" width="9.140625" style="82"/>
    <col min="4353" max="4353" width="6.5703125" style="82" bestFit="1" customWidth="1"/>
    <col min="4354" max="4354" width="19.42578125" style="82" bestFit="1" customWidth="1"/>
    <col min="4355" max="4355" width="9.140625" style="82"/>
    <col min="4356" max="4356" width="5.5703125" style="82" bestFit="1" customWidth="1"/>
    <col min="4357" max="4357" width="23.7109375" style="82" bestFit="1" customWidth="1"/>
    <col min="4358" max="4358" width="0" style="82" hidden="1" customWidth="1"/>
    <col min="4359" max="4359" width="23.5703125" style="82" customWidth="1"/>
    <col min="4360" max="4360" width="22" style="82" bestFit="1" customWidth="1"/>
    <col min="4361" max="4608" width="9.140625" style="82"/>
    <col min="4609" max="4609" width="6.5703125" style="82" bestFit="1" customWidth="1"/>
    <col min="4610" max="4610" width="19.42578125" style="82" bestFit="1" customWidth="1"/>
    <col min="4611" max="4611" width="9.140625" style="82"/>
    <col min="4612" max="4612" width="5.5703125" style="82" bestFit="1" customWidth="1"/>
    <col min="4613" max="4613" width="23.7109375" style="82" bestFit="1" customWidth="1"/>
    <col min="4614" max="4614" width="0" style="82" hidden="1" customWidth="1"/>
    <col min="4615" max="4615" width="23.5703125" style="82" customWidth="1"/>
    <col min="4616" max="4616" width="22" style="82" bestFit="1" customWidth="1"/>
    <col min="4617" max="4864" width="9.140625" style="82"/>
    <col min="4865" max="4865" width="6.5703125" style="82" bestFit="1" customWidth="1"/>
    <col min="4866" max="4866" width="19.42578125" style="82" bestFit="1" customWidth="1"/>
    <col min="4867" max="4867" width="9.140625" style="82"/>
    <col min="4868" max="4868" width="5.5703125" style="82" bestFit="1" customWidth="1"/>
    <col min="4869" max="4869" width="23.7109375" style="82" bestFit="1" customWidth="1"/>
    <col min="4870" max="4870" width="0" style="82" hidden="1" customWidth="1"/>
    <col min="4871" max="4871" width="23.5703125" style="82" customWidth="1"/>
    <col min="4872" max="4872" width="22" style="82" bestFit="1" customWidth="1"/>
    <col min="4873" max="5120" width="9.140625" style="82"/>
    <col min="5121" max="5121" width="6.5703125" style="82" bestFit="1" customWidth="1"/>
    <col min="5122" max="5122" width="19.42578125" style="82" bestFit="1" customWidth="1"/>
    <col min="5123" max="5123" width="9.140625" style="82"/>
    <col min="5124" max="5124" width="5.5703125" style="82" bestFit="1" customWidth="1"/>
    <col min="5125" max="5125" width="23.7109375" style="82" bestFit="1" customWidth="1"/>
    <col min="5126" max="5126" width="0" style="82" hidden="1" customWidth="1"/>
    <col min="5127" max="5127" width="23.5703125" style="82" customWidth="1"/>
    <col min="5128" max="5128" width="22" style="82" bestFit="1" customWidth="1"/>
    <col min="5129" max="5376" width="9.140625" style="82"/>
    <col min="5377" max="5377" width="6.5703125" style="82" bestFit="1" customWidth="1"/>
    <col min="5378" max="5378" width="19.42578125" style="82" bestFit="1" customWidth="1"/>
    <col min="5379" max="5379" width="9.140625" style="82"/>
    <col min="5380" max="5380" width="5.5703125" style="82" bestFit="1" customWidth="1"/>
    <col min="5381" max="5381" width="23.7109375" style="82" bestFit="1" customWidth="1"/>
    <col min="5382" max="5382" width="0" style="82" hidden="1" customWidth="1"/>
    <col min="5383" max="5383" width="23.5703125" style="82" customWidth="1"/>
    <col min="5384" max="5384" width="22" style="82" bestFit="1" customWidth="1"/>
    <col min="5385" max="5632" width="9.140625" style="82"/>
    <col min="5633" max="5633" width="6.5703125" style="82" bestFit="1" customWidth="1"/>
    <col min="5634" max="5634" width="19.42578125" style="82" bestFit="1" customWidth="1"/>
    <col min="5635" max="5635" width="9.140625" style="82"/>
    <col min="5636" max="5636" width="5.5703125" style="82" bestFit="1" customWidth="1"/>
    <col min="5637" max="5637" width="23.7109375" style="82" bestFit="1" customWidth="1"/>
    <col min="5638" max="5638" width="0" style="82" hidden="1" customWidth="1"/>
    <col min="5639" max="5639" width="23.5703125" style="82" customWidth="1"/>
    <col min="5640" max="5640" width="22" style="82" bestFit="1" customWidth="1"/>
    <col min="5641" max="5888" width="9.140625" style="82"/>
    <col min="5889" max="5889" width="6.5703125" style="82" bestFit="1" customWidth="1"/>
    <col min="5890" max="5890" width="19.42578125" style="82" bestFit="1" customWidth="1"/>
    <col min="5891" max="5891" width="9.140625" style="82"/>
    <col min="5892" max="5892" width="5.5703125" style="82" bestFit="1" customWidth="1"/>
    <col min="5893" max="5893" width="23.7109375" style="82" bestFit="1" customWidth="1"/>
    <col min="5894" max="5894" width="0" style="82" hidden="1" customWidth="1"/>
    <col min="5895" max="5895" width="23.5703125" style="82" customWidth="1"/>
    <col min="5896" max="5896" width="22" style="82" bestFit="1" customWidth="1"/>
    <col min="5897" max="6144" width="9.140625" style="82"/>
    <col min="6145" max="6145" width="6.5703125" style="82" bestFit="1" customWidth="1"/>
    <col min="6146" max="6146" width="19.42578125" style="82" bestFit="1" customWidth="1"/>
    <col min="6147" max="6147" width="9.140625" style="82"/>
    <col min="6148" max="6148" width="5.5703125" style="82" bestFit="1" customWidth="1"/>
    <col min="6149" max="6149" width="23.7109375" style="82" bestFit="1" customWidth="1"/>
    <col min="6150" max="6150" width="0" style="82" hidden="1" customWidth="1"/>
    <col min="6151" max="6151" width="23.5703125" style="82" customWidth="1"/>
    <col min="6152" max="6152" width="22" style="82" bestFit="1" customWidth="1"/>
    <col min="6153" max="6400" width="9.140625" style="82"/>
    <col min="6401" max="6401" width="6.5703125" style="82" bestFit="1" customWidth="1"/>
    <col min="6402" max="6402" width="19.42578125" style="82" bestFit="1" customWidth="1"/>
    <col min="6403" max="6403" width="9.140625" style="82"/>
    <col min="6404" max="6404" width="5.5703125" style="82" bestFit="1" customWidth="1"/>
    <col min="6405" max="6405" width="23.7109375" style="82" bestFit="1" customWidth="1"/>
    <col min="6406" max="6406" width="0" style="82" hidden="1" customWidth="1"/>
    <col min="6407" max="6407" width="23.5703125" style="82" customWidth="1"/>
    <col min="6408" max="6408" width="22" style="82" bestFit="1" customWidth="1"/>
    <col min="6409" max="6656" width="9.140625" style="82"/>
    <col min="6657" max="6657" width="6.5703125" style="82" bestFit="1" customWidth="1"/>
    <col min="6658" max="6658" width="19.42578125" style="82" bestFit="1" customWidth="1"/>
    <col min="6659" max="6659" width="9.140625" style="82"/>
    <col min="6660" max="6660" width="5.5703125" style="82" bestFit="1" customWidth="1"/>
    <col min="6661" max="6661" width="23.7109375" style="82" bestFit="1" customWidth="1"/>
    <col min="6662" max="6662" width="0" style="82" hidden="1" customWidth="1"/>
    <col min="6663" max="6663" width="23.5703125" style="82" customWidth="1"/>
    <col min="6664" max="6664" width="22" style="82" bestFit="1" customWidth="1"/>
    <col min="6665" max="6912" width="9.140625" style="82"/>
    <col min="6913" max="6913" width="6.5703125" style="82" bestFit="1" customWidth="1"/>
    <col min="6914" max="6914" width="19.42578125" style="82" bestFit="1" customWidth="1"/>
    <col min="6915" max="6915" width="9.140625" style="82"/>
    <col min="6916" max="6916" width="5.5703125" style="82" bestFit="1" customWidth="1"/>
    <col min="6917" max="6917" width="23.7109375" style="82" bestFit="1" customWidth="1"/>
    <col min="6918" max="6918" width="0" style="82" hidden="1" customWidth="1"/>
    <col min="6919" max="6919" width="23.5703125" style="82" customWidth="1"/>
    <col min="6920" max="6920" width="22" style="82" bestFit="1" customWidth="1"/>
    <col min="6921" max="7168" width="9.140625" style="82"/>
    <col min="7169" max="7169" width="6.5703125" style="82" bestFit="1" customWidth="1"/>
    <col min="7170" max="7170" width="19.42578125" style="82" bestFit="1" customWidth="1"/>
    <col min="7171" max="7171" width="9.140625" style="82"/>
    <col min="7172" max="7172" width="5.5703125" style="82" bestFit="1" customWidth="1"/>
    <col min="7173" max="7173" width="23.7109375" style="82" bestFit="1" customWidth="1"/>
    <col min="7174" max="7174" width="0" style="82" hidden="1" customWidth="1"/>
    <col min="7175" max="7175" width="23.5703125" style="82" customWidth="1"/>
    <col min="7176" max="7176" width="22" style="82" bestFit="1" customWidth="1"/>
    <col min="7177" max="7424" width="9.140625" style="82"/>
    <col min="7425" max="7425" width="6.5703125" style="82" bestFit="1" customWidth="1"/>
    <col min="7426" max="7426" width="19.42578125" style="82" bestFit="1" customWidth="1"/>
    <col min="7427" max="7427" width="9.140625" style="82"/>
    <col min="7428" max="7428" width="5.5703125" style="82" bestFit="1" customWidth="1"/>
    <col min="7429" max="7429" width="23.7109375" style="82" bestFit="1" customWidth="1"/>
    <col min="7430" max="7430" width="0" style="82" hidden="1" customWidth="1"/>
    <col min="7431" max="7431" width="23.5703125" style="82" customWidth="1"/>
    <col min="7432" max="7432" width="22" style="82" bestFit="1" customWidth="1"/>
    <col min="7433" max="7680" width="9.140625" style="82"/>
    <col min="7681" max="7681" width="6.5703125" style="82" bestFit="1" customWidth="1"/>
    <col min="7682" max="7682" width="19.42578125" style="82" bestFit="1" customWidth="1"/>
    <col min="7683" max="7683" width="9.140625" style="82"/>
    <col min="7684" max="7684" width="5.5703125" style="82" bestFit="1" customWidth="1"/>
    <col min="7685" max="7685" width="23.7109375" style="82" bestFit="1" customWidth="1"/>
    <col min="7686" max="7686" width="0" style="82" hidden="1" customWidth="1"/>
    <col min="7687" max="7687" width="23.5703125" style="82" customWidth="1"/>
    <col min="7688" max="7688" width="22" style="82" bestFit="1" customWidth="1"/>
    <col min="7689" max="7936" width="9.140625" style="82"/>
    <col min="7937" max="7937" width="6.5703125" style="82" bestFit="1" customWidth="1"/>
    <col min="7938" max="7938" width="19.42578125" style="82" bestFit="1" customWidth="1"/>
    <col min="7939" max="7939" width="9.140625" style="82"/>
    <col min="7940" max="7940" width="5.5703125" style="82" bestFit="1" customWidth="1"/>
    <col min="7941" max="7941" width="23.7109375" style="82" bestFit="1" customWidth="1"/>
    <col min="7942" max="7942" width="0" style="82" hidden="1" customWidth="1"/>
    <col min="7943" max="7943" width="23.5703125" style="82" customWidth="1"/>
    <col min="7944" max="7944" width="22" style="82" bestFit="1" customWidth="1"/>
    <col min="7945" max="8192" width="9.140625" style="82"/>
    <col min="8193" max="8193" width="6.5703125" style="82" bestFit="1" customWidth="1"/>
    <col min="8194" max="8194" width="19.42578125" style="82" bestFit="1" customWidth="1"/>
    <col min="8195" max="8195" width="9.140625" style="82"/>
    <col min="8196" max="8196" width="5.5703125" style="82" bestFit="1" customWidth="1"/>
    <col min="8197" max="8197" width="23.7109375" style="82" bestFit="1" customWidth="1"/>
    <col min="8198" max="8198" width="0" style="82" hidden="1" customWidth="1"/>
    <col min="8199" max="8199" width="23.5703125" style="82" customWidth="1"/>
    <col min="8200" max="8200" width="22" style="82" bestFit="1" customWidth="1"/>
    <col min="8201" max="8448" width="9.140625" style="82"/>
    <col min="8449" max="8449" width="6.5703125" style="82" bestFit="1" customWidth="1"/>
    <col min="8450" max="8450" width="19.42578125" style="82" bestFit="1" customWidth="1"/>
    <col min="8451" max="8451" width="9.140625" style="82"/>
    <col min="8452" max="8452" width="5.5703125" style="82" bestFit="1" customWidth="1"/>
    <col min="8453" max="8453" width="23.7109375" style="82" bestFit="1" customWidth="1"/>
    <col min="8454" max="8454" width="0" style="82" hidden="1" customWidth="1"/>
    <col min="8455" max="8455" width="23.5703125" style="82" customWidth="1"/>
    <col min="8456" max="8456" width="22" style="82" bestFit="1" customWidth="1"/>
    <col min="8457" max="8704" width="9.140625" style="82"/>
    <col min="8705" max="8705" width="6.5703125" style="82" bestFit="1" customWidth="1"/>
    <col min="8706" max="8706" width="19.42578125" style="82" bestFit="1" customWidth="1"/>
    <col min="8707" max="8707" width="9.140625" style="82"/>
    <col min="8708" max="8708" width="5.5703125" style="82" bestFit="1" customWidth="1"/>
    <col min="8709" max="8709" width="23.7109375" style="82" bestFit="1" customWidth="1"/>
    <col min="8710" max="8710" width="0" style="82" hidden="1" customWidth="1"/>
    <col min="8711" max="8711" width="23.5703125" style="82" customWidth="1"/>
    <col min="8712" max="8712" width="22" style="82" bestFit="1" customWidth="1"/>
    <col min="8713" max="8960" width="9.140625" style="82"/>
    <col min="8961" max="8961" width="6.5703125" style="82" bestFit="1" customWidth="1"/>
    <col min="8962" max="8962" width="19.42578125" style="82" bestFit="1" customWidth="1"/>
    <col min="8963" max="8963" width="9.140625" style="82"/>
    <col min="8964" max="8964" width="5.5703125" style="82" bestFit="1" customWidth="1"/>
    <col min="8965" max="8965" width="23.7109375" style="82" bestFit="1" customWidth="1"/>
    <col min="8966" max="8966" width="0" style="82" hidden="1" customWidth="1"/>
    <col min="8967" max="8967" width="23.5703125" style="82" customWidth="1"/>
    <col min="8968" max="8968" width="22" style="82" bestFit="1" customWidth="1"/>
    <col min="8969" max="9216" width="9.140625" style="82"/>
    <col min="9217" max="9217" width="6.5703125" style="82" bestFit="1" customWidth="1"/>
    <col min="9218" max="9218" width="19.42578125" style="82" bestFit="1" customWidth="1"/>
    <col min="9219" max="9219" width="9.140625" style="82"/>
    <col min="9220" max="9220" width="5.5703125" style="82" bestFit="1" customWidth="1"/>
    <col min="9221" max="9221" width="23.7109375" style="82" bestFit="1" customWidth="1"/>
    <col min="9222" max="9222" width="0" style="82" hidden="1" customWidth="1"/>
    <col min="9223" max="9223" width="23.5703125" style="82" customWidth="1"/>
    <col min="9224" max="9224" width="22" style="82" bestFit="1" customWidth="1"/>
    <col min="9225" max="9472" width="9.140625" style="82"/>
    <col min="9473" max="9473" width="6.5703125" style="82" bestFit="1" customWidth="1"/>
    <col min="9474" max="9474" width="19.42578125" style="82" bestFit="1" customWidth="1"/>
    <col min="9475" max="9475" width="9.140625" style="82"/>
    <col min="9476" max="9476" width="5.5703125" style="82" bestFit="1" customWidth="1"/>
    <col min="9477" max="9477" width="23.7109375" style="82" bestFit="1" customWidth="1"/>
    <col min="9478" max="9478" width="0" style="82" hidden="1" customWidth="1"/>
    <col min="9479" max="9479" width="23.5703125" style="82" customWidth="1"/>
    <col min="9480" max="9480" width="22" style="82" bestFit="1" customWidth="1"/>
    <col min="9481" max="9728" width="9.140625" style="82"/>
    <col min="9729" max="9729" width="6.5703125" style="82" bestFit="1" customWidth="1"/>
    <col min="9730" max="9730" width="19.42578125" style="82" bestFit="1" customWidth="1"/>
    <col min="9731" max="9731" width="9.140625" style="82"/>
    <col min="9732" max="9732" width="5.5703125" style="82" bestFit="1" customWidth="1"/>
    <col min="9733" max="9733" width="23.7109375" style="82" bestFit="1" customWidth="1"/>
    <col min="9734" max="9734" width="0" style="82" hidden="1" customWidth="1"/>
    <col min="9735" max="9735" width="23.5703125" style="82" customWidth="1"/>
    <col min="9736" max="9736" width="22" style="82" bestFit="1" customWidth="1"/>
    <col min="9737" max="9984" width="9.140625" style="82"/>
    <col min="9985" max="9985" width="6.5703125" style="82" bestFit="1" customWidth="1"/>
    <col min="9986" max="9986" width="19.42578125" style="82" bestFit="1" customWidth="1"/>
    <col min="9987" max="9987" width="9.140625" style="82"/>
    <col min="9988" max="9988" width="5.5703125" style="82" bestFit="1" customWidth="1"/>
    <col min="9989" max="9989" width="23.7109375" style="82" bestFit="1" customWidth="1"/>
    <col min="9990" max="9990" width="0" style="82" hidden="1" customWidth="1"/>
    <col min="9991" max="9991" width="23.5703125" style="82" customWidth="1"/>
    <col min="9992" max="9992" width="22" style="82" bestFit="1" customWidth="1"/>
    <col min="9993" max="10240" width="9.140625" style="82"/>
    <col min="10241" max="10241" width="6.5703125" style="82" bestFit="1" customWidth="1"/>
    <col min="10242" max="10242" width="19.42578125" style="82" bestFit="1" customWidth="1"/>
    <col min="10243" max="10243" width="9.140625" style="82"/>
    <col min="10244" max="10244" width="5.5703125" style="82" bestFit="1" customWidth="1"/>
    <col min="10245" max="10245" width="23.7109375" style="82" bestFit="1" customWidth="1"/>
    <col min="10246" max="10246" width="0" style="82" hidden="1" customWidth="1"/>
    <col min="10247" max="10247" width="23.5703125" style="82" customWidth="1"/>
    <col min="10248" max="10248" width="22" style="82" bestFit="1" customWidth="1"/>
    <col min="10249" max="10496" width="9.140625" style="82"/>
    <col min="10497" max="10497" width="6.5703125" style="82" bestFit="1" customWidth="1"/>
    <col min="10498" max="10498" width="19.42578125" style="82" bestFit="1" customWidth="1"/>
    <col min="10499" max="10499" width="9.140625" style="82"/>
    <col min="10500" max="10500" width="5.5703125" style="82" bestFit="1" customWidth="1"/>
    <col min="10501" max="10501" width="23.7109375" style="82" bestFit="1" customWidth="1"/>
    <col min="10502" max="10502" width="0" style="82" hidden="1" customWidth="1"/>
    <col min="10503" max="10503" width="23.5703125" style="82" customWidth="1"/>
    <col min="10504" max="10504" width="22" style="82" bestFit="1" customWidth="1"/>
    <col min="10505" max="10752" width="9.140625" style="82"/>
    <col min="10753" max="10753" width="6.5703125" style="82" bestFit="1" customWidth="1"/>
    <col min="10754" max="10754" width="19.42578125" style="82" bestFit="1" customWidth="1"/>
    <col min="10755" max="10755" width="9.140625" style="82"/>
    <col min="10756" max="10756" width="5.5703125" style="82" bestFit="1" customWidth="1"/>
    <col min="10757" max="10757" width="23.7109375" style="82" bestFit="1" customWidth="1"/>
    <col min="10758" max="10758" width="0" style="82" hidden="1" customWidth="1"/>
    <col min="10759" max="10759" width="23.5703125" style="82" customWidth="1"/>
    <col min="10760" max="10760" width="22" style="82" bestFit="1" customWidth="1"/>
    <col min="10761" max="11008" width="9.140625" style="82"/>
    <col min="11009" max="11009" width="6.5703125" style="82" bestFit="1" customWidth="1"/>
    <col min="11010" max="11010" width="19.42578125" style="82" bestFit="1" customWidth="1"/>
    <col min="11011" max="11011" width="9.140625" style="82"/>
    <col min="11012" max="11012" width="5.5703125" style="82" bestFit="1" customWidth="1"/>
    <col min="11013" max="11013" width="23.7109375" style="82" bestFit="1" customWidth="1"/>
    <col min="11014" max="11014" width="0" style="82" hidden="1" customWidth="1"/>
    <col min="11015" max="11015" width="23.5703125" style="82" customWidth="1"/>
    <col min="11016" max="11016" width="22" style="82" bestFit="1" customWidth="1"/>
    <col min="11017" max="11264" width="9.140625" style="82"/>
    <col min="11265" max="11265" width="6.5703125" style="82" bestFit="1" customWidth="1"/>
    <col min="11266" max="11266" width="19.42578125" style="82" bestFit="1" customWidth="1"/>
    <col min="11267" max="11267" width="9.140625" style="82"/>
    <col min="11268" max="11268" width="5.5703125" style="82" bestFit="1" customWidth="1"/>
    <col min="11269" max="11269" width="23.7109375" style="82" bestFit="1" customWidth="1"/>
    <col min="11270" max="11270" width="0" style="82" hidden="1" customWidth="1"/>
    <col min="11271" max="11271" width="23.5703125" style="82" customWidth="1"/>
    <col min="11272" max="11272" width="22" style="82" bestFit="1" customWidth="1"/>
    <col min="11273" max="11520" width="9.140625" style="82"/>
    <col min="11521" max="11521" width="6.5703125" style="82" bestFit="1" customWidth="1"/>
    <col min="11522" max="11522" width="19.42578125" style="82" bestFit="1" customWidth="1"/>
    <col min="11523" max="11523" width="9.140625" style="82"/>
    <col min="11524" max="11524" width="5.5703125" style="82" bestFit="1" customWidth="1"/>
    <col min="11525" max="11525" width="23.7109375" style="82" bestFit="1" customWidth="1"/>
    <col min="11526" max="11526" width="0" style="82" hidden="1" customWidth="1"/>
    <col min="11527" max="11527" width="23.5703125" style="82" customWidth="1"/>
    <col min="11528" max="11528" width="22" style="82" bestFit="1" customWidth="1"/>
    <col min="11529" max="11776" width="9.140625" style="82"/>
    <col min="11777" max="11777" width="6.5703125" style="82" bestFit="1" customWidth="1"/>
    <col min="11778" max="11778" width="19.42578125" style="82" bestFit="1" customWidth="1"/>
    <col min="11779" max="11779" width="9.140625" style="82"/>
    <col min="11780" max="11780" width="5.5703125" style="82" bestFit="1" customWidth="1"/>
    <col min="11781" max="11781" width="23.7109375" style="82" bestFit="1" customWidth="1"/>
    <col min="11782" max="11782" width="0" style="82" hidden="1" customWidth="1"/>
    <col min="11783" max="11783" width="23.5703125" style="82" customWidth="1"/>
    <col min="11784" max="11784" width="22" style="82" bestFit="1" customWidth="1"/>
    <col min="11785" max="12032" width="9.140625" style="82"/>
    <col min="12033" max="12033" width="6.5703125" style="82" bestFit="1" customWidth="1"/>
    <col min="12034" max="12034" width="19.42578125" style="82" bestFit="1" customWidth="1"/>
    <col min="12035" max="12035" width="9.140625" style="82"/>
    <col min="12036" max="12036" width="5.5703125" style="82" bestFit="1" customWidth="1"/>
    <col min="12037" max="12037" width="23.7109375" style="82" bestFit="1" customWidth="1"/>
    <col min="12038" max="12038" width="0" style="82" hidden="1" customWidth="1"/>
    <col min="12039" max="12039" width="23.5703125" style="82" customWidth="1"/>
    <col min="12040" max="12040" width="22" style="82" bestFit="1" customWidth="1"/>
    <col min="12041" max="12288" width="9.140625" style="82"/>
    <col min="12289" max="12289" width="6.5703125" style="82" bestFit="1" customWidth="1"/>
    <col min="12290" max="12290" width="19.42578125" style="82" bestFit="1" customWidth="1"/>
    <col min="12291" max="12291" width="9.140625" style="82"/>
    <col min="12292" max="12292" width="5.5703125" style="82" bestFit="1" customWidth="1"/>
    <col min="12293" max="12293" width="23.7109375" style="82" bestFit="1" customWidth="1"/>
    <col min="12294" max="12294" width="0" style="82" hidden="1" customWidth="1"/>
    <col min="12295" max="12295" width="23.5703125" style="82" customWidth="1"/>
    <col min="12296" max="12296" width="22" style="82" bestFit="1" customWidth="1"/>
    <col min="12297" max="12544" width="9.140625" style="82"/>
    <col min="12545" max="12545" width="6.5703125" style="82" bestFit="1" customWidth="1"/>
    <col min="12546" max="12546" width="19.42578125" style="82" bestFit="1" customWidth="1"/>
    <col min="12547" max="12547" width="9.140625" style="82"/>
    <col min="12548" max="12548" width="5.5703125" style="82" bestFit="1" customWidth="1"/>
    <col min="12549" max="12549" width="23.7109375" style="82" bestFit="1" customWidth="1"/>
    <col min="12550" max="12550" width="0" style="82" hidden="1" customWidth="1"/>
    <col min="12551" max="12551" width="23.5703125" style="82" customWidth="1"/>
    <col min="12552" max="12552" width="22" style="82" bestFit="1" customWidth="1"/>
    <col min="12553" max="12800" width="9.140625" style="82"/>
    <col min="12801" max="12801" width="6.5703125" style="82" bestFit="1" customWidth="1"/>
    <col min="12802" max="12802" width="19.42578125" style="82" bestFit="1" customWidth="1"/>
    <col min="12803" max="12803" width="9.140625" style="82"/>
    <col min="12804" max="12804" width="5.5703125" style="82" bestFit="1" customWidth="1"/>
    <col min="12805" max="12805" width="23.7109375" style="82" bestFit="1" customWidth="1"/>
    <col min="12806" max="12806" width="0" style="82" hidden="1" customWidth="1"/>
    <col min="12807" max="12807" width="23.5703125" style="82" customWidth="1"/>
    <col min="12808" max="12808" width="22" style="82" bestFit="1" customWidth="1"/>
    <col min="12809" max="13056" width="9.140625" style="82"/>
    <col min="13057" max="13057" width="6.5703125" style="82" bestFit="1" customWidth="1"/>
    <col min="13058" max="13058" width="19.42578125" style="82" bestFit="1" customWidth="1"/>
    <col min="13059" max="13059" width="9.140625" style="82"/>
    <col min="13060" max="13060" width="5.5703125" style="82" bestFit="1" customWidth="1"/>
    <col min="13061" max="13061" width="23.7109375" style="82" bestFit="1" customWidth="1"/>
    <col min="13062" max="13062" width="0" style="82" hidden="1" customWidth="1"/>
    <col min="13063" max="13063" width="23.5703125" style="82" customWidth="1"/>
    <col min="13064" max="13064" width="22" style="82" bestFit="1" customWidth="1"/>
    <col min="13065" max="13312" width="9.140625" style="82"/>
    <col min="13313" max="13313" width="6.5703125" style="82" bestFit="1" customWidth="1"/>
    <col min="13314" max="13314" width="19.42578125" style="82" bestFit="1" customWidth="1"/>
    <col min="13315" max="13315" width="9.140625" style="82"/>
    <col min="13316" max="13316" width="5.5703125" style="82" bestFit="1" customWidth="1"/>
    <col min="13317" max="13317" width="23.7109375" style="82" bestFit="1" customWidth="1"/>
    <col min="13318" max="13318" width="0" style="82" hidden="1" customWidth="1"/>
    <col min="13319" max="13319" width="23.5703125" style="82" customWidth="1"/>
    <col min="13320" max="13320" width="22" style="82" bestFit="1" customWidth="1"/>
    <col min="13321" max="13568" width="9.140625" style="82"/>
    <col min="13569" max="13569" width="6.5703125" style="82" bestFit="1" customWidth="1"/>
    <col min="13570" max="13570" width="19.42578125" style="82" bestFit="1" customWidth="1"/>
    <col min="13571" max="13571" width="9.140625" style="82"/>
    <col min="13572" max="13572" width="5.5703125" style="82" bestFit="1" customWidth="1"/>
    <col min="13573" max="13573" width="23.7109375" style="82" bestFit="1" customWidth="1"/>
    <col min="13574" max="13574" width="0" style="82" hidden="1" customWidth="1"/>
    <col min="13575" max="13575" width="23.5703125" style="82" customWidth="1"/>
    <col min="13576" max="13576" width="22" style="82" bestFit="1" customWidth="1"/>
    <col min="13577" max="13824" width="9.140625" style="82"/>
    <col min="13825" max="13825" width="6.5703125" style="82" bestFit="1" customWidth="1"/>
    <col min="13826" max="13826" width="19.42578125" style="82" bestFit="1" customWidth="1"/>
    <col min="13827" max="13827" width="9.140625" style="82"/>
    <col min="13828" max="13828" width="5.5703125" style="82" bestFit="1" customWidth="1"/>
    <col min="13829" max="13829" width="23.7109375" style="82" bestFit="1" customWidth="1"/>
    <col min="13830" max="13830" width="0" style="82" hidden="1" customWidth="1"/>
    <col min="13831" max="13831" width="23.5703125" style="82" customWidth="1"/>
    <col min="13832" max="13832" width="22" style="82" bestFit="1" customWidth="1"/>
    <col min="13833" max="14080" width="9.140625" style="82"/>
    <col min="14081" max="14081" width="6.5703125" style="82" bestFit="1" customWidth="1"/>
    <col min="14082" max="14082" width="19.42578125" style="82" bestFit="1" customWidth="1"/>
    <col min="14083" max="14083" width="9.140625" style="82"/>
    <col min="14084" max="14084" width="5.5703125" style="82" bestFit="1" customWidth="1"/>
    <col min="14085" max="14085" width="23.7109375" style="82" bestFit="1" customWidth="1"/>
    <col min="14086" max="14086" width="0" style="82" hidden="1" customWidth="1"/>
    <col min="14087" max="14087" width="23.5703125" style="82" customWidth="1"/>
    <col min="14088" max="14088" width="22" style="82" bestFit="1" customWidth="1"/>
    <col min="14089" max="14336" width="9.140625" style="82"/>
    <col min="14337" max="14337" width="6.5703125" style="82" bestFit="1" customWidth="1"/>
    <col min="14338" max="14338" width="19.42578125" style="82" bestFit="1" customWidth="1"/>
    <col min="14339" max="14339" width="9.140625" style="82"/>
    <col min="14340" max="14340" width="5.5703125" style="82" bestFit="1" customWidth="1"/>
    <col min="14341" max="14341" width="23.7109375" style="82" bestFit="1" customWidth="1"/>
    <col min="14342" max="14342" width="0" style="82" hidden="1" customWidth="1"/>
    <col min="14343" max="14343" width="23.5703125" style="82" customWidth="1"/>
    <col min="14344" max="14344" width="22" style="82" bestFit="1" customWidth="1"/>
    <col min="14345" max="14592" width="9.140625" style="82"/>
    <col min="14593" max="14593" width="6.5703125" style="82" bestFit="1" customWidth="1"/>
    <col min="14594" max="14594" width="19.42578125" style="82" bestFit="1" customWidth="1"/>
    <col min="14595" max="14595" width="9.140625" style="82"/>
    <col min="14596" max="14596" width="5.5703125" style="82" bestFit="1" customWidth="1"/>
    <col min="14597" max="14597" width="23.7109375" style="82" bestFit="1" customWidth="1"/>
    <col min="14598" max="14598" width="0" style="82" hidden="1" customWidth="1"/>
    <col min="14599" max="14599" width="23.5703125" style="82" customWidth="1"/>
    <col min="14600" max="14600" width="22" style="82" bestFit="1" customWidth="1"/>
    <col min="14601" max="14848" width="9.140625" style="82"/>
    <col min="14849" max="14849" width="6.5703125" style="82" bestFit="1" customWidth="1"/>
    <col min="14850" max="14850" width="19.42578125" style="82" bestFit="1" customWidth="1"/>
    <col min="14851" max="14851" width="9.140625" style="82"/>
    <col min="14852" max="14852" width="5.5703125" style="82" bestFit="1" customWidth="1"/>
    <col min="14853" max="14853" width="23.7109375" style="82" bestFit="1" customWidth="1"/>
    <col min="14854" max="14854" width="0" style="82" hidden="1" customWidth="1"/>
    <col min="14855" max="14855" width="23.5703125" style="82" customWidth="1"/>
    <col min="14856" max="14856" width="22" style="82" bestFit="1" customWidth="1"/>
    <col min="14857" max="15104" width="9.140625" style="82"/>
    <col min="15105" max="15105" width="6.5703125" style="82" bestFit="1" customWidth="1"/>
    <col min="15106" max="15106" width="19.42578125" style="82" bestFit="1" customWidth="1"/>
    <col min="15107" max="15107" width="9.140625" style="82"/>
    <col min="15108" max="15108" width="5.5703125" style="82" bestFit="1" customWidth="1"/>
    <col min="15109" max="15109" width="23.7109375" style="82" bestFit="1" customWidth="1"/>
    <col min="15110" max="15110" width="0" style="82" hidden="1" customWidth="1"/>
    <col min="15111" max="15111" width="23.5703125" style="82" customWidth="1"/>
    <col min="15112" max="15112" width="22" style="82" bestFit="1" customWidth="1"/>
    <col min="15113" max="15360" width="9.140625" style="82"/>
    <col min="15361" max="15361" width="6.5703125" style="82" bestFit="1" customWidth="1"/>
    <col min="15362" max="15362" width="19.42578125" style="82" bestFit="1" customWidth="1"/>
    <col min="15363" max="15363" width="9.140625" style="82"/>
    <col min="15364" max="15364" width="5.5703125" style="82" bestFit="1" customWidth="1"/>
    <col min="15365" max="15365" width="23.7109375" style="82" bestFit="1" customWidth="1"/>
    <col min="15366" max="15366" width="0" style="82" hidden="1" customWidth="1"/>
    <col min="15367" max="15367" width="23.5703125" style="82" customWidth="1"/>
    <col min="15368" max="15368" width="22" style="82" bestFit="1" customWidth="1"/>
    <col min="15369" max="15616" width="9.140625" style="82"/>
    <col min="15617" max="15617" width="6.5703125" style="82" bestFit="1" customWidth="1"/>
    <col min="15618" max="15618" width="19.42578125" style="82" bestFit="1" customWidth="1"/>
    <col min="15619" max="15619" width="9.140625" style="82"/>
    <col min="15620" max="15620" width="5.5703125" style="82" bestFit="1" customWidth="1"/>
    <col min="15621" max="15621" width="23.7109375" style="82" bestFit="1" customWidth="1"/>
    <col min="15622" max="15622" width="0" style="82" hidden="1" customWidth="1"/>
    <col min="15623" max="15623" width="23.5703125" style="82" customWidth="1"/>
    <col min="15624" max="15624" width="22" style="82" bestFit="1" customWidth="1"/>
    <col min="15625" max="15872" width="9.140625" style="82"/>
    <col min="15873" max="15873" width="6.5703125" style="82" bestFit="1" customWidth="1"/>
    <col min="15874" max="15874" width="19.42578125" style="82" bestFit="1" customWidth="1"/>
    <col min="15875" max="15875" width="9.140625" style="82"/>
    <col min="15876" max="15876" width="5.5703125" style="82" bestFit="1" customWidth="1"/>
    <col min="15877" max="15877" width="23.7109375" style="82" bestFit="1" customWidth="1"/>
    <col min="15878" max="15878" width="0" style="82" hidden="1" customWidth="1"/>
    <col min="15879" max="15879" width="23.5703125" style="82" customWidth="1"/>
    <col min="15880" max="15880" width="22" style="82" bestFit="1" customWidth="1"/>
    <col min="15881" max="16128" width="9.140625" style="82"/>
    <col min="16129" max="16129" width="6.5703125" style="82" bestFit="1" customWidth="1"/>
    <col min="16130" max="16130" width="19.42578125" style="82" bestFit="1" customWidth="1"/>
    <col min="16131" max="16131" width="9.140625" style="82"/>
    <col min="16132" max="16132" width="5.5703125" style="82" bestFit="1" customWidth="1"/>
    <col min="16133" max="16133" width="23.7109375" style="82" bestFit="1" customWidth="1"/>
    <col min="16134" max="16134" width="0" style="82" hidden="1" customWidth="1"/>
    <col min="16135" max="16135" width="23.5703125" style="82" customWidth="1"/>
    <col min="16136" max="16136" width="22" style="82" bestFit="1" customWidth="1"/>
    <col min="16137" max="16384" width="9.140625" style="82"/>
  </cols>
  <sheetData>
    <row r="4" spans="4:7">
      <c r="D4" s="135" t="s">
        <v>139</v>
      </c>
      <c r="E4" s="135" t="s">
        <v>154</v>
      </c>
      <c r="F4" s="135" t="s">
        <v>155</v>
      </c>
      <c r="G4" s="135" t="s">
        <v>156</v>
      </c>
    </row>
    <row r="5" spans="4:7">
      <c r="D5" s="135">
        <v>1</v>
      </c>
      <c r="E5" s="136">
        <v>264293</v>
      </c>
      <c r="F5" s="136">
        <f>E5/10000</f>
        <v>26.429300000000001</v>
      </c>
      <c r="G5" s="137">
        <f>E5/(1000*1000)</f>
        <v>0.264293</v>
      </c>
    </row>
    <row r="6" spans="4:7">
      <c r="D6" s="135">
        <v>2</v>
      </c>
      <c r="E6" s="136">
        <v>173808</v>
      </c>
      <c r="F6" s="136">
        <f>E6/10000</f>
        <v>17.380800000000001</v>
      </c>
      <c r="G6" s="137">
        <f>E6/(1000*1000)</f>
        <v>0.17380799999999999</v>
      </c>
    </row>
    <row r="11" spans="4:7">
      <c r="G11" s="82">
        <f>1232*7.5</f>
        <v>9240</v>
      </c>
    </row>
    <row r="12" spans="4:7">
      <c r="G12" s="82">
        <f>G11-G13</f>
        <v>2700</v>
      </c>
    </row>
    <row r="13" spans="4:7">
      <c r="G13" s="82">
        <v>6540</v>
      </c>
    </row>
    <row r="14" spans="4:7">
      <c r="G14" s="82">
        <f>G12/1232</f>
        <v>2.1915584415584415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0"/>
  <sheetViews>
    <sheetView showGridLines="0" view="pageBreakPreview" zoomScaleNormal="85" zoomScaleSheetLayoutView="100" workbookViewId="0">
      <pane ySplit="5" topLeftCell="A6" activePane="bottomLeft" state="frozen"/>
      <selection activeCell="C19" sqref="C19"/>
      <selection pane="bottomLeft" activeCell="C19" sqref="C19"/>
    </sheetView>
  </sheetViews>
  <sheetFormatPr defaultColWidth="11.42578125" defaultRowHeight="15.75"/>
  <cols>
    <col min="1" max="1" width="3.85546875" style="178" customWidth="1"/>
    <col min="2" max="2" width="2.7109375" style="178" customWidth="1"/>
    <col min="3" max="3" width="4.85546875" style="178" bestFit="1" customWidth="1"/>
    <col min="4" max="4" width="3.5703125" style="178" customWidth="1"/>
    <col min="5" max="5" width="2.7109375" style="178" customWidth="1"/>
    <col min="6" max="6" width="6" style="178" customWidth="1"/>
    <col min="7" max="7" width="7.42578125" style="178" bestFit="1" customWidth="1"/>
    <col min="8" max="8" width="8.7109375" style="178" bestFit="1" customWidth="1"/>
    <col min="9" max="9" width="6.42578125" style="178" customWidth="1"/>
    <col min="10" max="10" width="7.140625" style="178" bestFit="1" customWidth="1"/>
    <col min="11" max="11" width="4.85546875" style="178" bestFit="1" customWidth="1"/>
    <col min="12" max="12" width="6.5703125" style="178" bestFit="1" customWidth="1"/>
    <col min="13" max="14" width="10" style="178" customWidth="1"/>
    <col min="15" max="16" width="8.5703125" style="178" customWidth="1"/>
    <col min="17" max="18" width="11.5703125" style="178" customWidth="1"/>
    <col min="19" max="19" width="9.7109375" style="178" customWidth="1"/>
    <col min="20" max="20" width="8.85546875" style="178" customWidth="1"/>
    <col min="21" max="21" width="6.140625" style="178" customWidth="1"/>
    <col min="22" max="22" width="6.7109375" style="178" customWidth="1"/>
    <col min="23" max="23" width="7" style="178" customWidth="1"/>
    <col min="24" max="25" width="8.5703125" style="178" customWidth="1"/>
    <col min="26" max="26" width="8.42578125" style="178" customWidth="1"/>
    <col min="27" max="27" width="8" style="178" customWidth="1"/>
    <col min="28" max="28" width="6.42578125" style="178" customWidth="1"/>
    <col min="29" max="30" width="7.5703125" style="178" customWidth="1"/>
    <col min="31" max="32" width="6.42578125" style="178" customWidth="1"/>
    <col min="33" max="33" width="3.28515625" style="178" bestFit="1" customWidth="1"/>
    <col min="34" max="34" width="5.85546875" style="178" bestFit="1" customWidth="1"/>
    <col min="35" max="36" width="11.42578125" style="178"/>
    <col min="37" max="37" width="19" style="178" customWidth="1"/>
    <col min="38" max="250" width="11.42578125" style="178"/>
    <col min="251" max="252" width="2.7109375" style="178" customWidth="1"/>
    <col min="253" max="253" width="4.85546875" style="178" bestFit="1" customWidth="1"/>
    <col min="254" max="255" width="2.7109375" style="178" customWidth="1"/>
    <col min="256" max="256" width="4.85546875" style="178" bestFit="1" customWidth="1"/>
    <col min="257" max="257" width="7.42578125" style="178" bestFit="1" customWidth="1"/>
    <col min="258" max="258" width="7.85546875" style="178" bestFit="1" customWidth="1"/>
    <col min="259" max="259" width="5.28515625" style="178" bestFit="1" customWidth="1"/>
    <col min="260" max="260" width="6.5703125" style="178" bestFit="1" customWidth="1"/>
    <col min="261" max="261" width="4.85546875" style="178" bestFit="1" customWidth="1"/>
    <col min="262" max="262" width="6.5703125" style="178" bestFit="1" customWidth="1"/>
    <col min="263" max="263" width="9.28515625" style="178" customWidth="1"/>
    <col min="264" max="264" width="7.28515625" style="178" customWidth="1"/>
    <col min="265" max="265" width="9.42578125" style="178" bestFit="1" customWidth="1"/>
    <col min="266" max="266" width="7.140625" style="178" bestFit="1" customWidth="1"/>
    <col min="267" max="267" width="11.28515625" style="178" bestFit="1" customWidth="1"/>
    <col min="268" max="268" width="7.7109375" style="178" bestFit="1" customWidth="1"/>
    <col min="269" max="269" width="10" style="178" bestFit="1" customWidth="1"/>
    <col min="270" max="270" width="8.85546875" style="178" customWidth="1"/>
    <col min="271" max="271" width="8.5703125" style="178" customWidth="1"/>
    <col min="272" max="272" width="6.7109375" style="178" customWidth="1"/>
    <col min="273" max="273" width="9.140625" style="178" bestFit="1" customWidth="1"/>
    <col min="274" max="274" width="8.5703125" style="178" bestFit="1" customWidth="1"/>
    <col min="275" max="275" width="8.140625" style="178" bestFit="1" customWidth="1"/>
    <col min="276" max="276" width="8.42578125" style="178" customWidth="1"/>
    <col min="277" max="277" width="7.28515625" style="178" customWidth="1"/>
    <col min="278" max="278" width="6" style="178" customWidth="1"/>
    <col min="279" max="279" width="6.85546875" style="178" customWidth="1"/>
    <col min="280" max="280" width="7.5703125" style="178" bestFit="1" customWidth="1"/>
    <col min="281" max="281" width="7.42578125" style="178" customWidth="1"/>
    <col min="282" max="282" width="8" style="178" customWidth="1"/>
    <col min="283" max="283" width="22.42578125" style="178" customWidth="1"/>
    <col min="284" max="284" width="26" style="178" bestFit="1" customWidth="1"/>
    <col min="285" max="285" width="11.7109375" style="178" bestFit="1" customWidth="1"/>
    <col min="286" max="286" width="3.28515625" style="178" bestFit="1" customWidth="1"/>
    <col min="287" max="287" width="4.7109375" style="178" bestFit="1" customWidth="1"/>
    <col min="288" max="288" width="16.140625" style="178" bestFit="1" customWidth="1"/>
    <col min="289" max="289" width="3.28515625" style="178" bestFit="1" customWidth="1"/>
    <col min="290" max="290" width="5.85546875" style="178" bestFit="1" customWidth="1"/>
    <col min="291" max="292" width="11.42578125" style="178"/>
    <col min="293" max="293" width="19" style="178" customWidth="1"/>
    <col min="294" max="506" width="11.42578125" style="178"/>
    <col min="507" max="508" width="2.7109375" style="178" customWidth="1"/>
    <col min="509" max="509" width="4.85546875" style="178" bestFit="1" customWidth="1"/>
    <col min="510" max="511" width="2.7109375" style="178" customWidth="1"/>
    <col min="512" max="512" width="4.85546875" style="178" bestFit="1" customWidth="1"/>
    <col min="513" max="513" width="7.42578125" style="178" bestFit="1" customWidth="1"/>
    <col min="514" max="514" width="7.85546875" style="178" bestFit="1" customWidth="1"/>
    <col min="515" max="515" width="5.28515625" style="178" bestFit="1" customWidth="1"/>
    <col min="516" max="516" width="6.5703125" style="178" bestFit="1" customWidth="1"/>
    <col min="517" max="517" width="4.85546875" style="178" bestFit="1" customWidth="1"/>
    <col min="518" max="518" width="6.5703125" style="178" bestFit="1" customWidth="1"/>
    <col min="519" max="519" width="9.28515625" style="178" customWidth="1"/>
    <col min="520" max="520" width="7.28515625" style="178" customWidth="1"/>
    <col min="521" max="521" width="9.42578125" style="178" bestFit="1" customWidth="1"/>
    <col min="522" max="522" width="7.140625" style="178" bestFit="1" customWidth="1"/>
    <col min="523" max="523" width="11.28515625" style="178" bestFit="1" customWidth="1"/>
    <col min="524" max="524" width="7.7109375" style="178" bestFit="1" customWidth="1"/>
    <col min="525" max="525" width="10" style="178" bestFit="1" customWidth="1"/>
    <col min="526" max="526" width="8.85546875" style="178" customWidth="1"/>
    <col min="527" max="527" width="8.5703125" style="178" customWidth="1"/>
    <col min="528" max="528" width="6.7109375" style="178" customWidth="1"/>
    <col min="529" max="529" width="9.140625" style="178" bestFit="1" customWidth="1"/>
    <col min="530" max="530" width="8.5703125" style="178" bestFit="1" customWidth="1"/>
    <col min="531" max="531" width="8.140625" style="178" bestFit="1" customWidth="1"/>
    <col min="532" max="532" width="8.42578125" style="178" customWidth="1"/>
    <col min="533" max="533" width="7.28515625" style="178" customWidth="1"/>
    <col min="534" max="534" width="6" style="178" customWidth="1"/>
    <col min="535" max="535" width="6.85546875" style="178" customWidth="1"/>
    <col min="536" max="536" width="7.5703125" style="178" bestFit="1" customWidth="1"/>
    <col min="537" max="537" width="7.42578125" style="178" customWidth="1"/>
    <col min="538" max="538" width="8" style="178" customWidth="1"/>
    <col min="539" max="539" width="22.42578125" style="178" customWidth="1"/>
    <col min="540" max="540" width="26" style="178" bestFit="1" customWidth="1"/>
    <col min="541" max="541" width="11.7109375" style="178" bestFit="1" customWidth="1"/>
    <col min="542" max="542" width="3.28515625" style="178" bestFit="1" customWidth="1"/>
    <col min="543" max="543" width="4.7109375" style="178" bestFit="1" customWidth="1"/>
    <col min="544" max="544" width="16.140625" style="178" bestFit="1" customWidth="1"/>
    <col min="545" max="545" width="3.28515625" style="178" bestFit="1" customWidth="1"/>
    <col min="546" max="546" width="5.85546875" style="178" bestFit="1" customWidth="1"/>
    <col min="547" max="548" width="11.42578125" style="178"/>
    <col min="549" max="549" width="19" style="178" customWidth="1"/>
    <col min="550" max="762" width="11.42578125" style="178"/>
    <col min="763" max="764" width="2.7109375" style="178" customWidth="1"/>
    <col min="765" max="765" width="4.85546875" style="178" bestFit="1" customWidth="1"/>
    <col min="766" max="767" width="2.7109375" style="178" customWidth="1"/>
    <col min="768" max="768" width="4.85546875" style="178" bestFit="1" customWidth="1"/>
    <col min="769" max="769" width="7.42578125" style="178" bestFit="1" customWidth="1"/>
    <col min="770" max="770" width="7.85546875" style="178" bestFit="1" customWidth="1"/>
    <col min="771" max="771" width="5.28515625" style="178" bestFit="1" customWidth="1"/>
    <col min="772" max="772" width="6.5703125" style="178" bestFit="1" customWidth="1"/>
    <col min="773" max="773" width="4.85546875" style="178" bestFit="1" customWidth="1"/>
    <col min="774" max="774" width="6.5703125" style="178" bestFit="1" customWidth="1"/>
    <col min="775" max="775" width="9.28515625" style="178" customWidth="1"/>
    <col min="776" max="776" width="7.28515625" style="178" customWidth="1"/>
    <col min="777" max="777" width="9.42578125" style="178" bestFit="1" customWidth="1"/>
    <col min="778" max="778" width="7.140625" style="178" bestFit="1" customWidth="1"/>
    <col min="779" max="779" width="11.28515625" style="178" bestFit="1" customWidth="1"/>
    <col min="780" max="780" width="7.7109375" style="178" bestFit="1" customWidth="1"/>
    <col min="781" max="781" width="10" style="178" bestFit="1" customWidth="1"/>
    <col min="782" max="782" width="8.85546875" style="178" customWidth="1"/>
    <col min="783" max="783" width="8.5703125" style="178" customWidth="1"/>
    <col min="784" max="784" width="6.7109375" style="178" customWidth="1"/>
    <col min="785" max="785" width="9.140625" style="178" bestFit="1" customWidth="1"/>
    <col min="786" max="786" width="8.5703125" style="178" bestFit="1" customWidth="1"/>
    <col min="787" max="787" width="8.140625" style="178" bestFit="1" customWidth="1"/>
    <col min="788" max="788" width="8.42578125" style="178" customWidth="1"/>
    <col min="789" max="789" width="7.28515625" style="178" customWidth="1"/>
    <col min="790" max="790" width="6" style="178" customWidth="1"/>
    <col min="791" max="791" width="6.85546875" style="178" customWidth="1"/>
    <col min="792" max="792" width="7.5703125" style="178" bestFit="1" customWidth="1"/>
    <col min="793" max="793" width="7.42578125" style="178" customWidth="1"/>
    <col min="794" max="794" width="8" style="178" customWidth="1"/>
    <col min="795" max="795" width="22.42578125" style="178" customWidth="1"/>
    <col min="796" max="796" width="26" style="178" bestFit="1" customWidth="1"/>
    <col min="797" max="797" width="11.7109375" style="178" bestFit="1" customWidth="1"/>
    <col min="798" max="798" width="3.28515625" style="178" bestFit="1" customWidth="1"/>
    <col min="799" max="799" width="4.7109375" style="178" bestFit="1" customWidth="1"/>
    <col min="800" max="800" width="16.140625" style="178" bestFit="1" customWidth="1"/>
    <col min="801" max="801" width="3.28515625" style="178" bestFit="1" customWidth="1"/>
    <col min="802" max="802" width="5.85546875" style="178" bestFit="1" customWidth="1"/>
    <col min="803" max="804" width="11.42578125" style="178"/>
    <col min="805" max="805" width="19" style="178" customWidth="1"/>
    <col min="806" max="1018" width="11.42578125" style="178"/>
    <col min="1019" max="1020" width="2.7109375" style="178" customWidth="1"/>
    <col min="1021" max="1021" width="4.85546875" style="178" bestFit="1" customWidth="1"/>
    <col min="1022" max="1023" width="2.7109375" style="178" customWidth="1"/>
    <col min="1024" max="1024" width="4.85546875" style="178" bestFit="1" customWidth="1"/>
    <col min="1025" max="1025" width="7.42578125" style="178" bestFit="1" customWidth="1"/>
    <col min="1026" max="1026" width="7.85546875" style="178" bestFit="1" customWidth="1"/>
    <col min="1027" max="1027" width="5.28515625" style="178" bestFit="1" customWidth="1"/>
    <col min="1028" max="1028" width="6.5703125" style="178" bestFit="1" customWidth="1"/>
    <col min="1029" max="1029" width="4.85546875" style="178" bestFit="1" customWidth="1"/>
    <col min="1030" max="1030" width="6.5703125" style="178" bestFit="1" customWidth="1"/>
    <col min="1031" max="1031" width="9.28515625" style="178" customWidth="1"/>
    <col min="1032" max="1032" width="7.28515625" style="178" customWidth="1"/>
    <col min="1033" max="1033" width="9.42578125" style="178" bestFit="1" customWidth="1"/>
    <col min="1034" max="1034" width="7.140625" style="178" bestFit="1" customWidth="1"/>
    <col min="1035" max="1035" width="11.28515625" style="178" bestFit="1" customWidth="1"/>
    <col min="1036" max="1036" width="7.7109375" style="178" bestFit="1" customWidth="1"/>
    <col min="1037" max="1037" width="10" style="178" bestFit="1" customWidth="1"/>
    <col min="1038" max="1038" width="8.85546875" style="178" customWidth="1"/>
    <col min="1039" max="1039" width="8.5703125" style="178" customWidth="1"/>
    <col min="1040" max="1040" width="6.7109375" style="178" customWidth="1"/>
    <col min="1041" max="1041" width="9.140625" style="178" bestFit="1" customWidth="1"/>
    <col min="1042" max="1042" width="8.5703125" style="178" bestFit="1" customWidth="1"/>
    <col min="1043" max="1043" width="8.140625" style="178" bestFit="1" customWidth="1"/>
    <col min="1044" max="1044" width="8.42578125" style="178" customWidth="1"/>
    <col min="1045" max="1045" width="7.28515625" style="178" customWidth="1"/>
    <col min="1046" max="1046" width="6" style="178" customWidth="1"/>
    <col min="1047" max="1047" width="6.85546875" style="178" customWidth="1"/>
    <col min="1048" max="1048" width="7.5703125" style="178" bestFit="1" customWidth="1"/>
    <col min="1049" max="1049" width="7.42578125" style="178" customWidth="1"/>
    <col min="1050" max="1050" width="8" style="178" customWidth="1"/>
    <col min="1051" max="1051" width="22.42578125" style="178" customWidth="1"/>
    <col min="1052" max="1052" width="26" style="178" bestFit="1" customWidth="1"/>
    <col min="1053" max="1053" width="11.7109375" style="178" bestFit="1" customWidth="1"/>
    <col min="1054" max="1054" width="3.28515625" style="178" bestFit="1" customWidth="1"/>
    <col min="1055" max="1055" width="4.7109375" style="178" bestFit="1" customWidth="1"/>
    <col min="1056" max="1056" width="16.140625" style="178" bestFit="1" customWidth="1"/>
    <col min="1057" max="1057" width="3.28515625" style="178" bestFit="1" customWidth="1"/>
    <col min="1058" max="1058" width="5.85546875" style="178" bestFit="1" customWidth="1"/>
    <col min="1059" max="1060" width="11.42578125" style="178"/>
    <col min="1061" max="1061" width="19" style="178" customWidth="1"/>
    <col min="1062" max="1274" width="11.42578125" style="178"/>
    <col min="1275" max="1276" width="2.7109375" style="178" customWidth="1"/>
    <col min="1277" max="1277" width="4.85546875" style="178" bestFit="1" customWidth="1"/>
    <col min="1278" max="1279" width="2.7109375" style="178" customWidth="1"/>
    <col min="1280" max="1280" width="4.85546875" style="178" bestFit="1" customWidth="1"/>
    <col min="1281" max="1281" width="7.42578125" style="178" bestFit="1" customWidth="1"/>
    <col min="1282" max="1282" width="7.85546875" style="178" bestFit="1" customWidth="1"/>
    <col min="1283" max="1283" width="5.28515625" style="178" bestFit="1" customWidth="1"/>
    <col min="1284" max="1284" width="6.5703125" style="178" bestFit="1" customWidth="1"/>
    <col min="1285" max="1285" width="4.85546875" style="178" bestFit="1" customWidth="1"/>
    <col min="1286" max="1286" width="6.5703125" style="178" bestFit="1" customWidth="1"/>
    <col min="1287" max="1287" width="9.28515625" style="178" customWidth="1"/>
    <col min="1288" max="1288" width="7.28515625" style="178" customWidth="1"/>
    <col min="1289" max="1289" width="9.42578125" style="178" bestFit="1" customWidth="1"/>
    <col min="1290" max="1290" width="7.140625" style="178" bestFit="1" customWidth="1"/>
    <col min="1291" max="1291" width="11.28515625" style="178" bestFit="1" customWidth="1"/>
    <col min="1292" max="1292" width="7.7109375" style="178" bestFit="1" customWidth="1"/>
    <col min="1293" max="1293" width="10" style="178" bestFit="1" customWidth="1"/>
    <col min="1294" max="1294" width="8.85546875" style="178" customWidth="1"/>
    <col min="1295" max="1295" width="8.5703125" style="178" customWidth="1"/>
    <col min="1296" max="1296" width="6.7109375" style="178" customWidth="1"/>
    <col min="1297" max="1297" width="9.140625" style="178" bestFit="1" customWidth="1"/>
    <col min="1298" max="1298" width="8.5703125" style="178" bestFit="1" customWidth="1"/>
    <col min="1299" max="1299" width="8.140625" style="178" bestFit="1" customWidth="1"/>
    <col min="1300" max="1300" width="8.42578125" style="178" customWidth="1"/>
    <col min="1301" max="1301" width="7.28515625" style="178" customWidth="1"/>
    <col min="1302" max="1302" width="6" style="178" customWidth="1"/>
    <col min="1303" max="1303" width="6.85546875" style="178" customWidth="1"/>
    <col min="1304" max="1304" width="7.5703125" style="178" bestFit="1" customWidth="1"/>
    <col min="1305" max="1305" width="7.42578125" style="178" customWidth="1"/>
    <col min="1306" max="1306" width="8" style="178" customWidth="1"/>
    <col min="1307" max="1307" width="22.42578125" style="178" customWidth="1"/>
    <col min="1308" max="1308" width="26" style="178" bestFit="1" customWidth="1"/>
    <col min="1309" max="1309" width="11.7109375" style="178" bestFit="1" customWidth="1"/>
    <col min="1310" max="1310" width="3.28515625" style="178" bestFit="1" customWidth="1"/>
    <col min="1311" max="1311" width="4.7109375" style="178" bestFit="1" customWidth="1"/>
    <col min="1312" max="1312" width="16.140625" style="178" bestFit="1" customWidth="1"/>
    <col min="1313" max="1313" width="3.28515625" style="178" bestFit="1" customWidth="1"/>
    <col min="1314" max="1314" width="5.85546875" style="178" bestFit="1" customWidth="1"/>
    <col min="1315" max="1316" width="11.42578125" style="178"/>
    <col min="1317" max="1317" width="19" style="178" customWidth="1"/>
    <col min="1318" max="1530" width="11.42578125" style="178"/>
    <col min="1531" max="1532" width="2.7109375" style="178" customWidth="1"/>
    <col min="1533" max="1533" width="4.85546875" style="178" bestFit="1" customWidth="1"/>
    <col min="1534" max="1535" width="2.7109375" style="178" customWidth="1"/>
    <col min="1536" max="1536" width="4.85546875" style="178" bestFit="1" customWidth="1"/>
    <col min="1537" max="1537" width="7.42578125" style="178" bestFit="1" customWidth="1"/>
    <col min="1538" max="1538" width="7.85546875" style="178" bestFit="1" customWidth="1"/>
    <col min="1539" max="1539" width="5.28515625" style="178" bestFit="1" customWidth="1"/>
    <col min="1540" max="1540" width="6.5703125" style="178" bestFit="1" customWidth="1"/>
    <col min="1541" max="1541" width="4.85546875" style="178" bestFit="1" customWidth="1"/>
    <col min="1542" max="1542" width="6.5703125" style="178" bestFit="1" customWidth="1"/>
    <col min="1543" max="1543" width="9.28515625" style="178" customWidth="1"/>
    <col min="1544" max="1544" width="7.28515625" style="178" customWidth="1"/>
    <col min="1545" max="1545" width="9.42578125" style="178" bestFit="1" customWidth="1"/>
    <col min="1546" max="1546" width="7.140625" style="178" bestFit="1" customWidth="1"/>
    <col min="1547" max="1547" width="11.28515625" style="178" bestFit="1" customWidth="1"/>
    <col min="1548" max="1548" width="7.7109375" style="178" bestFit="1" customWidth="1"/>
    <col min="1549" max="1549" width="10" style="178" bestFit="1" customWidth="1"/>
    <col min="1550" max="1550" width="8.85546875" style="178" customWidth="1"/>
    <col min="1551" max="1551" width="8.5703125" style="178" customWidth="1"/>
    <col min="1552" max="1552" width="6.7109375" style="178" customWidth="1"/>
    <col min="1553" max="1553" width="9.140625" style="178" bestFit="1" customWidth="1"/>
    <col min="1554" max="1554" width="8.5703125" style="178" bestFit="1" customWidth="1"/>
    <col min="1555" max="1555" width="8.140625" style="178" bestFit="1" customWidth="1"/>
    <col min="1556" max="1556" width="8.42578125" style="178" customWidth="1"/>
    <col min="1557" max="1557" width="7.28515625" style="178" customWidth="1"/>
    <col min="1558" max="1558" width="6" style="178" customWidth="1"/>
    <col min="1559" max="1559" width="6.85546875" style="178" customWidth="1"/>
    <col min="1560" max="1560" width="7.5703125" style="178" bestFit="1" customWidth="1"/>
    <col min="1561" max="1561" width="7.42578125" style="178" customWidth="1"/>
    <col min="1562" max="1562" width="8" style="178" customWidth="1"/>
    <col min="1563" max="1563" width="22.42578125" style="178" customWidth="1"/>
    <col min="1564" max="1564" width="26" style="178" bestFit="1" customWidth="1"/>
    <col min="1565" max="1565" width="11.7109375" style="178" bestFit="1" customWidth="1"/>
    <col min="1566" max="1566" width="3.28515625" style="178" bestFit="1" customWidth="1"/>
    <col min="1567" max="1567" width="4.7109375" style="178" bestFit="1" customWidth="1"/>
    <col min="1568" max="1568" width="16.140625" style="178" bestFit="1" customWidth="1"/>
    <col min="1569" max="1569" width="3.28515625" style="178" bestFit="1" customWidth="1"/>
    <col min="1570" max="1570" width="5.85546875" style="178" bestFit="1" customWidth="1"/>
    <col min="1571" max="1572" width="11.42578125" style="178"/>
    <col min="1573" max="1573" width="19" style="178" customWidth="1"/>
    <col min="1574" max="1786" width="11.42578125" style="178"/>
    <col min="1787" max="1788" width="2.7109375" style="178" customWidth="1"/>
    <col min="1789" max="1789" width="4.85546875" style="178" bestFit="1" customWidth="1"/>
    <col min="1790" max="1791" width="2.7109375" style="178" customWidth="1"/>
    <col min="1792" max="1792" width="4.85546875" style="178" bestFit="1" customWidth="1"/>
    <col min="1793" max="1793" width="7.42578125" style="178" bestFit="1" customWidth="1"/>
    <col min="1794" max="1794" width="7.85546875" style="178" bestFit="1" customWidth="1"/>
    <col min="1795" max="1795" width="5.28515625" style="178" bestFit="1" customWidth="1"/>
    <col min="1796" max="1796" width="6.5703125" style="178" bestFit="1" customWidth="1"/>
    <col min="1797" max="1797" width="4.85546875" style="178" bestFit="1" customWidth="1"/>
    <col min="1798" max="1798" width="6.5703125" style="178" bestFit="1" customWidth="1"/>
    <col min="1799" max="1799" width="9.28515625" style="178" customWidth="1"/>
    <col min="1800" max="1800" width="7.28515625" style="178" customWidth="1"/>
    <col min="1801" max="1801" width="9.42578125" style="178" bestFit="1" customWidth="1"/>
    <col min="1802" max="1802" width="7.140625" style="178" bestFit="1" customWidth="1"/>
    <col min="1803" max="1803" width="11.28515625" style="178" bestFit="1" customWidth="1"/>
    <col min="1804" max="1804" width="7.7109375" style="178" bestFit="1" customWidth="1"/>
    <col min="1805" max="1805" width="10" style="178" bestFit="1" customWidth="1"/>
    <col min="1806" max="1806" width="8.85546875" style="178" customWidth="1"/>
    <col min="1807" max="1807" width="8.5703125" style="178" customWidth="1"/>
    <col min="1808" max="1808" width="6.7109375" style="178" customWidth="1"/>
    <col min="1809" max="1809" width="9.140625" style="178" bestFit="1" customWidth="1"/>
    <col min="1810" max="1810" width="8.5703125" style="178" bestFit="1" customWidth="1"/>
    <col min="1811" max="1811" width="8.140625" style="178" bestFit="1" customWidth="1"/>
    <col min="1812" max="1812" width="8.42578125" style="178" customWidth="1"/>
    <col min="1813" max="1813" width="7.28515625" style="178" customWidth="1"/>
    <col min="1814" max="1814" width="6" style="178" customWidth="1"/>
    <col min="1815" max="1815" width="6.85546875" style="178" customWidth="1"/>
    <col min="1816" max="1816" width="7.5703125" style="178" bestFit="1" customWidth="1"/>
    <col min="1817" max="1817" width="7.42578125" style="178" customWidth="1"/>
    <col min="1818" max="1818" width="8" style="178" customWidth="1"/>
    <col min="1819" max="1819" width="22.42578125" style="178" customWidth="1"/>
    <col min="1820" max="1820" width="26" style="178" bestFit="1" customWidth="1"/>
    <col min="1821" max="1821" width="11.7109375" style="178" bestFit="1" customWidth="1"/>
    <col min="1822" max="1822" width="3.28515625" style="178" bestFit="1" customWidth="1"/>
    <col min="1823" max="1823" width="4.7109375" style="178" bestFit="1" customWidth="1"/>
    <col min="1824" max="1824" width="16.140625" style="178" bestFit="1" customWidth="1"/>
    <col min="1825" max="1825" width="3.28515625" style="178" bestFit="1" customWidth="1"/>
    <col min="1826" max="1826" width="5.85546875" style="178" bestFit="1" customWidth="1"/>
    <col min="1827" max="1828" width="11.42578125" style="178"/>
    <col min="1829" max="1829" width="19" style="178" customWidth="1"/>
    <col min="1830" max="2042" width="11.42578125" style="178"/>
    <col min="2043" max="2044" width="2.7109375" style="178" customWidth="1"/>
    <col min="2045" max="2045" width="4.85546875" style="178" bestFit="1" customWidth="1"/>
    <col min="2046" max="2047" width="2.7109375" style="178" customWidth="1"/>
    <col min="2048" max="2048" width="4.85546875" style="178" bestFit="1" customWidth="1"/>
    <col min="2049" max="2049" width="7.42578125" style="178" bestFit="1" customWidth="1"/>
    <col min="2050" max="2050" width="7.85546875" style="178" bestFit="1" customWidth="1"/>
    <col min="2051" max="2051" width="5.28515625" style="178" bestFit="1" customWidth="1"/>
    <col min="2052" max="2052" width="6.5703125" style="178" bestFit="1" customWidth="1"/>
    <col min="2053" max="2053" width="4.85546875" style="178" bestFit="1" customWidth="1"/>
    <col min="2054" max="2054" width="6.5703125" style="178" bestFit="1" customWidth="1"/>
    <col min="2055" max="2055" width="9.28515625" style="178" customWidth="1"/>
    <col min="2056" max="2056" width="7.28515625" style="178" customWidth="1"/>
    <col min="2057" max="2057" width="9.42578125" style="178" bestFit="1" customWidth="1"/>
    <col min="2058" max="2058" width="7.140625" style="178" bestFit="1" customWidth="1"/>
    <col min="2059" max="2059" width="11.28515625" style="178" bestFit="1" customWidth="1"/>
    <col min="2060" max="2060" width="7.7109375" style="178" bestFit="1" customWidth="1"/>
    <col min="2061" max="2061" width="10" style="178" bestFit="1" customWidth="1"/>
    <col min="2062" max="2062" width="8.85546875" style="178" customWidth="1"/>
    <col min="2063" max="2063" width="8.5703125" style="178" customWidth="1"/>
    <col min="2064" max="2064" width="6.7109375" style="178" customWidth="1"/>
    <col min="2065" max="2065" width="9.140625" style="178" bestFit="1" customWidth="1"/>
    <col min="2066" max="2066" width="8.5703125" style="178" bestFit="1" customWidth="1"/>
    <col min="2067" max="2067" width="8.140625" style="178" bestFit="1" customWidth="1"/>
    <col min="2068" max="2068" width="8.42578125" style="178" customWidth="1"/>
    <col min="2069" max="2069" width="7.28515625" style="178" customWidth="1"/>
    <col min="2070" max="2070" width="6" style="178" customWidth="1"/>
    <col min="2071" max="2071" width="6.85546875" style="178" customWidth="1"/>
    <col min="2072" max="2072" width="7.5703125" style="178" bestFit="1" customWidth="1"/>
    <col min="2073" max="2073" width="7.42578125" style="178" customWidth="1"/>
    <col min="2074" max="2074" width="8" style="178" customWidth="1"/>
    <col min="2075" max="2075" width="22.42578125" style="178" customWidth="1"/>
    <col min="2076" max="2076" width="26" style="178" bestFit="1" customWidth="1"/>
    <col min="2077" max="2077" width="11.7109375" style="178" bestFit="1" customWidth="1"/>
    <col min="2078" max="2078" width="3.28515625" style="178" bestFit="1" customWidth="1"/>
    <col min="2079" max="2079" width="4.7109375" style="178" bestFit="1" customWidth="1"/>
    <col min="2080" max="2080" width="16.140625" style="178" bestFit="1" customWidth="1"/>
    <col min="2081" max="2081" width="3.28515625" style="178" bestFit="1" customWidth="1"/>
    <col min="2082" max="2082" width="5.85546875" style="178" bestFit="1" customWidth="1"/>
    <col min="2083" max="2084" width="11.42578125" style="178"/>
    <col min="2085" max="2085" width="19" style="178" customWidth="1"/>
    <col min="2086" max="2298" width="11.42578125" style="178"/>
    <col min="2299" max="2300" width="2.7109375" style="178" customWidth="1"/>
    <col min="2301" max="2301" width="4.85546875" style="178" bestFit="1" customWidth="1"/>
    <col min="2302" max="2303" width="2.7109375" style="178" customWidth="1"/>
    <col min="2304" max="2304" width="4.85546875" style="178" bestFit="1" customWidth="1"/>
    <col min="2305" max="2305" width="7.42578125" style="178" bestFit="1" customWidth="1"/>
    <col min="2306" max="2306" width="7.85546875" style="178" bestFit="1" customWidth="1"/>
    <col min="2307" max="2307" width="5.28515625" style="178" bestFit="1" customWidth="1"/>
    <col min="2308" max="2308" width="6.5703125" style="178" bestFit="1" customWidth="1"/>
    <col min="2309" max="2309" width="4.85546875" style="178" bestFit="1" customWidth="1"/>
    <col min="2310" max="2310" width="6.5703125" style="178" bestFit="1" customWidth="1"/>
    <col min="2311" max="2311" width="9.28515625" style="178" customWidth="1"/>
    <col min="2312" max="2312" width="7.28515625" style="178" customWidth="1"/>
    <col min="2313" max="2313" width="9.42578125" style="178" bestFit="1" customWidth="1"/>
    <col min="2314" max="2314" width="7.140625" style="178" bestFit="1" customWidth="1"/>
    <col min="2315" max="2315" width="11.28515625" style="178" bestFit="1" customWidth="1"/>
    <col min="2316" max="2316" width="7.7109375" style="178" bestFit="1" customWidth="1"/>
    <col min="2317" max="2317" width="10" style="178" bestFit="1" customWidth="1"/>
    <col min="2318" max="2318" width="8.85546875" style="178" customWidth="1"/>
    <col min="2319" max="2319" width="8.5703125" style="178" customWidth="1"/>
    <col min="2320" max="2320" width="6.7109375" style="178" customWidth="1"/>
    <col min="2321" max="2321" width="9.140625" style="178" bestFit="1" customWidth="1"/>
    <col min="2322" max="2322" width="8.5703125" style="178" bestFit="1" customWidth="1"/>
    <col min="2323" max="2323" width="8.140625" style="178" bestFit="1" customWidth="1"/>
    <col min="2324" max="2324" width="8.42578125" style="178" customWidth="1"/>
    <col min="2325" max="2325" width="7.28515625" style="178" customWidth="1"/>
    <col min="2326" max="2326" width="6" style="178" customWidth="1"/>
    <col min="2327" max="2327" width="6.85546875" style="178" customWidth="1"/>
    <col min="2328" max="2328" width="7.5703125" style="178" bestFit="1" customWidth="1"/>
    <col min="2329" max="2329" width="7.42578125" style="178" customWidth="1"/>
    <col min="2330" max="2330" width="8" style="178" customWidth="1"/>
    <col min="2331" max="2331" width="22.42578125" style="178" customWidth="1"/>
    <col min="2332" max="2332" width="26" style="178" bestFit="1" customWidth="1"/>
    <col min="2333" max="2333" width="11.7109375" style="178" bestFit="1" customWidth="1"/>
    <col min="2334" max="2334" width="3.28515625" style="178" bestFit="1" customWidth="1"/>
    <col min="2335" max="2335" width="4.7109375" style="178" bestFit="1" customWidth="1"/>
    <col min="2336" max="2336" width="16.140625" style="178" bestFit="1" customWidth="1"/>
    <col min="2337" max="2337" width="3.28515625" style="178" bestFit="1" customWidth="1"/>
    <col min="2338" max="2338" width="5.85546875" style="178" bestFit="1" customWidth="1"/>
    <col min="2339" max="2340" width="11.42578125" style="178"/>
    <col min="2341" max="2341" width="19" style="178" customWidth="1"/>
    <col min="2342" max="2554" width="11.42578125" style="178"/>
    <col min="2555" max="2556" width="2.7109375" style="178" customWidth="1"/>
    <col min="2557" max="2557" width="4.85546875" style="178" bestFit="1" customWidth="1"/>
    <col min="2558" max="2559" width="2.7109375" style="178" customWidth="1"/>
    <col min="2560" max="2560" width="4.85546875" style="178" bestFit="1" customWidth="1"/>
    <col min="2561" max="2561" width="7.42578125" style="178" bestFit="1" customWidth="1"/>
    <col min="2562" max="2562" width="7.85546875" style="178" bestFit="1" customWidth="1"/>
    <col min="2563" max="2563" width="5.28515625" style="178" bestFit="1" customWidth="1"/>
    <col min="2564" max="2564" width="6.5703125" style="178" bestFit="1" customWidth="1"/>
    <col min="2565" max="2565" width="4.85546875" style="178" bestFit="1" customWidth="1"/>
    <col min="2566" max="2566" width="6.5703125" style="178" bestFit="1" customWidth="1"/>
    <col min="2567" max="2567" width="9.28515625" style="178" customWidth="1"/>
    <col min="2568" max="2568" width="7.28515625" style="178" customWidth="1"/>
    <col min="2569" max="2569" width="9.42578125" style="178" bestFit="1" customWidth="1"/>
    <col min="2570" max="2570" width="7.140625" style="178" bestFit="1" customWidth="1"/>
    <col min="2571" max="2571" width="11.28515625" style="178" bestFit="1" customWidth="1"/>
    <col min="2572" max="2572" width="7.7109375" style="178" bestFit="1" customWidth="1"/>
    <col min="2573" max="2573" width="10" style="178" bestFit="1" customWidth="1"/>
    <col min="2574" max="2574" width="8.85546875" style="178" customWidth="1"/>
    <col min="2575" max="2575" width="8.5703125" style="178" customWidth="1"/>
    <col min="2576" max="2576" width="6.7109375" style="178" customWidth="1"/>
    <col min="2577" max="2577" width="9.140625" style="178" bestFit="1" customWidth="1"/>
    <col min="2578" max="2578" width="8.5703125" style="178" bestFit="1" customWidth="1"/>
    <col min="2579" max="2579" width="8.140625" style="178" bestFit="1" customWidth="1"/>
    <col min="2580" max="2580" width="8.42578125" style="178" customWidth="1"/>
    <col min="2581" max="2581" width="7.28515625" style="178" customWidth="1"/>
    <col min="2582" max="2582" width="6" style="178" customWidth="1"/>
    <col min="2583" max="2583" width="6.85546875" style="178" customWidth="1"/>
    <col min="2584" max="2584" width="7.5703125" style="178" bestFit="1" customWidth="1"/>
    <col min="2585" max="2585" width="7.42578125" style="178" customWidth="1"/>
    <col min="2586" max="2586" width="8" style="178" customWidth="1"/>
    <col min="2587" max="2587" width="22.42578125" style="178" customWidth="1"/>
    <col min="2588" max="2588" width="26" style="178" bestFit="1" customWidth="1"/>
    <col min="2589" max="2589" width="11.7109375" style="178" bestFit="1" customWidth="1"/>
    <col min="2590" max="2590" width="3.28515625" style="178" bestFit="1" customWidth="1"/>
    <col min="2591" max="2591" width="4.7109375" style="178" bestFit="1" customWidth="1"/>
    <col min="2592" max="2592" width="16.140625" style="178" bestFit="1" customWidth="1"/>
    <col min="2593" max="2593" width="3.28515625" style="178" bestFit="1" customWidth="1"/>
    <col min="2594" max="2594" width="5.85546875" style="178" bestFit="1" customWidth="1"/>
    <col min="2595" max="2596" width="11.42578125" style="178"/>
    <col min="2597" max="2597" width="19" style="178" customWidth="1"/>
    <col min="2598" max="2810" width="11.42578125" style="178"/>
    <col min="2811" max="2812" width="2.7109375" style="178" customWidth="1"/>
    <col min="2813" max="2813" width="4.85546875" style="178" bestFit="1" customWidth="1"/>
    <col min="2814" max="2815" width="2.7109375" style="178" customWidth="1"/>
    <col min="2816" max="2816" width="4.85546875" style="178" bestFit="1" customWidth="1"/>
    <col min="2817" max="2817" width="7.42578125" style="178" bestFit="1" customWidth="1"/>
    <col min="2818" max="2818" width="7.85546875" style="178" bestFit="1" customWidth="1"/>
    <col min="2819" max="2819" width="5.28515625" style="178" bestFit="1" customWidth="1"/>
    <col min="2820" max="2820" width="6.5703125" style="178" bestFit="1" customWidth="1"/>
    <col min="2821" max="2821" width="4.85546875" style="178" bestFit="1" customWidth="1"/>
    <col min="2822" max="2822" width="6.5703125" style="178" bestFit="1" customWidth="1"/>
    <col min="2823" max="2823" width="9.28515625" style="178" customWidth="1"/>
    <col min="2824" max="2824" width="7.28515625" style="178" customWidth="1"/>
    <col min="2825" max="2825" width="9.42578125" style="178" bestFit="1" customWidth="1"/>
    <col min="2826" max="2826" width="7.140625" style="178" bestFit="1" customWidth="1"/>
    <col min="2827" max="2827" width="11.28515625" style="178" bestFit="1" customWidth="1"/>
    <col min="2828" max="2828" width="7.7109375" style="178" bestFit="1" customWidth="1"/>
    <col min="2829" max="2829" width="10" style="178" bestFit="1" customWidth="1"/>
    <col min="2830" max="2830" width="8.85546875" style="178" customWidth="1"/>
    <col min="2831" max="2831" width="8.5703125" style="178" customWidth="1"/>
    <col min="2832" max="2832" width="6.7109375" style="178" customWidth="1"/>
    <col min="2833" max="2833" width="9.140625" style="178" bestFit="1" customWidth="1"/>
    <col min="2834" max="2834" width="8.5703125" style="178" bestFit="1" customWidth="1"/>
    <col min="2835" max="2835" width="8.140625" style="178" bestFit="1" customWidth="1"/>
    <col min="2836" max="2836" width="8.42578125" style="178" customWidth="1"/>
    <col min="2837" max="2837" width="7.28515625" style="178" customWidth="1"/>
    <col min="2838" max="2838" width="6" style="178" customWidth="1"/>
    <col min="2839" max="2839" width="6.85546875" style="178" customWidth="1"/>
    <col min="2840" max="2840" width="7.5703125" style="178" bestFit="1" customWidth="1"/>
    <col min="2841" max="2841" width="7.42578125" style="178" customWidth="1"/>
    <col min="2842" max="2842" width="8" style="178" customWidth="1"/>
    <col min="2843" max="2843" width="22.42578125" style="178" customWidth="1"/>
    <col min="2844" max="2844" width="26" style="178" bestFit="1" customWidth="1"/>
    <col min="2845" max="2845" width="11.7109375" style="178" bestFit="1" customWidth="1"/>
    <col min="2846" max="2846" width="3.28515625" style="178" bestFit="1" customWidth="1"/>
    <col min="2847" max="2847" width="4.7109375" style="178" bestFit="1" customWidth="1"/>
    <col min="2848" max="2848" width="16.140625" style="178" bestFit="1" customWidth="1"/>
    <col min="2849" max="2849" width="3.28515625" style="178" bestFit="1" customWidth="1"/>
    <col min="2850" max="2850" width="5.85546875" style="178" bestFit="1" customWidth="1"/>
    <col min="2851" max="2852" width="11.42578125" style="178"/>
    <col min="2853" max="2853" width="19" style="178" customWidth="1"/>
    <col min="2854" max="3066" width="11.42578125" style="178"/>
    <col min="3067" max="3068" width="2.7109375" style="178" customWidth="1"/>
    <col min="3069" max="3069" width="4.85546875" style="178" bestFit="1" customWidth="1"/>
    <col min="3070" max="3071" width="2.7109375" style="178" customWidth="1"/>
    <col min="3072" max="3072" width="4.85546875" style="178" bestFit="1" customWidth="1"/>
    <col min="3073" max="3073" width="7.42578125" style="178" bestFit="1" customWidth="1"/>
    <col min="3074" max="3074" width="7.85546875" style="178" bestFit="1" customWidth="1"/>
    <col min="3075" max="3075" width="5.28515625" style="178" bestFit="1" customWidth="1"/>
    <col min="3076" max="3076" width="6.5703125" style="178" bestFit="1" customWidth="1"/>
    <col min="3077" max="3077" width="4.85546875" style="178" bestFit="1" customWidth="1"/>
    <col min="3078" max="3078" width="6.5703125" style="178" bestFit="1" customWidth="1"/>
    <col min="3079" max="3079" width="9.28515625" style="178" customWidth="1"/>
    <col min="3080" max="3080" width="7.28515625" style="178" customWidth="1"/>
    <col min="3081" max="3081" width="9.42578125" style="178" bestFit="1" customWidth="1"/>
    <col min="3082" max="3082" width="7.140625" style="178" bestFit="1" customWidth="1"/>
    <col min="3083" max="3083" width="11.28515625" style="178" bestFit="1" customWidth="1"/>
    <col min="3084" max="3084" width="7.7109375" style="178" bestFit="1" customWidth="1"/>
    <col min="3085" max="3085" width="10" style="178" bestFit="1" customWidth="1"/>
    <col min="3086" max="3086" width="8.85546875" style="178" customWidth="1"/>
    <col min="3087" max="3087" width="8.5703125" style="178" customWidth="1"/>
    <col min="3088" max="3088" width="6.7109375" style="178" customWidth="1"/>
    <col min="3089" max="3089" width="9.140625" style="178" bestFit="1" customWidth="1"/>
    <col min="3090" max="3090" width="8.5703125" style="178" bestFit="1" customWidth="1"/>
    <col min="3091" max="3091" width="8.140625" style="178" bestFit="1" customWidth="1"/>
    <col min="3092" max="3092" width="8.42578125" style="178" customWidth="1"/>
    <col min="3093" max="3093" width="7.28515625" style="178" customWidth="1"/>
    <col min="3094" max="3094" width="6" style="178" customWidth="1"/>
    <col min="3095" max="3095" width="6.85546875" style="178" customWidth="1"/>
    <col min="3096" max="3096" width="7.5703125" style="178" bestFit="1" customWidth="1"/>
    <col min="3097" max="3097" width="7.42578125" style="178" customWidth="1"/>
    <col min="3098" max="3098" width="8" style="178" customWidth="1"/>
    <col min="3099" max="3099" width="22.42578125" style="178" customWidth="1"/>
    <col min="3100" max="3100" width="26" style="178" bestFit="1" customWidth="1"/>
    <col min="3101" max="3101" width="11.7109375" style="178" bestFit="1" customWidth="1"/>
    <col min="3102" max="3102" width="3.28515625" style="178" bestFit="1" customWidth="1"/>
    <col min="3103" max="3103" width="4.7109375" style="178" bestFit="1" customWidth="1"/>
    <col min="3104" max="3104" width="16.140625" style="178" bestFit="1" customWidth="1"/>
    <col min="3105" max="3105" width="3.28515625" style="178" bestFit="1" customWidth="1"/>
    <col min="3106" max="3106" width="5.85546875" style="178" bestFit="1" customWidth="1"/>
    <col min="3107" max="3108" width="11.42578125" style="178"/>
    <col min="3109" max="3109" width="19" style="178" customWidth="1"/>
    <col min="3110" max="3322" width="11.42578125" style="178"/>
    <col min="3323" max="3324" width="2.7109375" style="178" customWidth="1"/>
    <col min="3325" max="3325" width="4.85546875" style="178" bestFit="1" customWidth="1"/>
    <col min="3326" max="3327" width="2.7109375" style="178" customWidth="1"/>
    <col min="3328" max="3328" width="4.85546875" style="178" bestFit="1" customWidth="1"/>
    <col min="3329" max="3329" width="7.42578125" style="178" bestFit="1" customWidth="1"/>
    <col min="3330" max="3330" width="7.85546875" style="178" bestFit="1" customWidth="1"/>
    <col min="3331" max="3331" width="5.28515625" style="178" bestFit="1" customWidth="1"/>
    <col min="3332" max="3332" width="6.5703125" style="178" bestFit="1" customWidth="1"/>
    <col min="3333" max="3333" width="4.85546875" style="178" bestFit="1" customWidth="1"/>
    <col min="3334" max="3334" width="6.5703125" style="178" bestFit="1" customWidth="1"/>
    <col min="3335" max="3335" width="9.28515625" style="178" customWidth="1"/>
    <col min="3336" max="3336" width="7.28515625" style="178" customWidth="1"/>
    <col min="3337" max="3337" width="9.42578125" style="178" bestFit="1" customWidth="1"/>
    <col min="3338" max="3338" width="7.140625" style="178" bestFit="1" customWidth="1"/>
    <col min="3339" max="3339" width="11.28515625" style="178" bestFit="1" customWidth="1"/>
    <col min="3340" max="3340" width="7.7109375" style="178" bestFit="1" customWidth="1"/>
    <col min="3341" max="3341" width="10" style="178" bestFit="1" customWidth="1"/>
    <col min="3342" max="3342" width="8.85546875" style="178" customWidth="1"/>
    <col min="3343" max="3343" width="8.5703125" style="178" customWidth="1"/>
    <col min="3344" max="3344" width="6.7109375" style="178" customWidth="1"/>
    <col min="3345" max="3345" width="9.140625" style="178" bestFit="1" customWidth="1"/>
    <col min="3346" max="3346" width="8.5703125" style="178" bestFit="1" customWidth="1"/>
    <col min="3347" max="3347" width="8.140625" style="178" bestFit="1" customWidth="1"/>
    <col min="3348" max="3348" width="8.42578125" style="178" customWidth="1"/>
    <col min="3349" max="3349" width="7.28515625" style="178" customWidth="1"/>
    <col min="3350" max="3350" width="6" style="178" customWidth="1"/>
    <col min="3351" max="3351" width="6.85546875" style="178" customWidth="1"/>
    <col min="3352" max="3352" width="7.5703125" style="178" bestFit="1" customWidth="1"/>
    <col min="3353" max="3353" width="7.42578125" style="178" customWidth="1"/>
    <col min="3354" max="3354" width="8" style="178" customWidth="1"/>
    <col min="3355" max="3355" width="22.42578125" style="178" customWidth="1"/>
    <col min="3356" max="3356" width="26" style="178" bestFit="1" customWidth="1"/>
    <col min="3357" max="3357" width="11.7109375" style="178" bestFit="1" customWidth="1"/>
    <col min="3358" max="3358" width="3.28515625" style="178" bestFit="1" customWidth="1"/>
    <col min="3359" max="3359" width="4.7109375" style="178" bestFit="1" customWidth="1"/>
    <col min="3360" max="3360" width="16.140625" style="178" bestFit="1" customWidth="1"/>
    <col min="3361" max="3361" width="3.28515625" style="178" bestFit="1" customWidth="1"/>
    <col min="3362" max="3362" width="5.85546875" style="178" bestFit="1" customWidth="1"/>
    <col min="3363" max="3364" width="11.42578125" style="178"/>
    <col min="3365" max="3365" width="19" style="178" customWidth="1"/>
    <col min="3366" max="3578" width="11.42578125" style="178"/>
    <col min="3579" max="3580" width="2.7109375" style="178" customWidth="1"/>
    <col min="3581" max="3581" width="4.85546875" style="178" bestFit="1" customWidth="1"/>
    <col min="3582" max="3583" width="2.7109375" style="178" customWidth="1"/>
    <col min="3584" max="3584" width="4.85546875" style="178" bestFit="1" customWidth="1"/>
    <col min="3585" max="3585" width="7.42578125" style="178" bestFit="1" customWidth="1"/>
    <col min="3586" max="3586" width="7.85546875" style="178" bestFit="1" customWidth="1"/>
    <col min="3587" max="3587" width="5.28515625" style="178" bestFit="1" customWidth="1"/>
    <col min="3588" max="3588" width="6.5703125" style="178" bestFit="1" customWidth="1"/>
    <col min="3589" max="3589" width="4.85546875" style="178" bestFit="1" customWidth="1"/>
    <col min="3590" max="3590" width="6.5703125" style="178" bestFit="1" customWidth="1"/>
    <col min="3591" max="3591" width="9.28515625" style="178" customWidth="1"/>
    <col min="3592" max="3592" width="7.28515625" style="178" customWidth="1"/>
    <col min="3593" max="3593" width="9.42578125" style="178" bestFit="1" customWidth="1"/>
    <col min="3594" max="3594" width="7.140625" style="178" bestFit="1" customWidth="1"/>
    <col min="3595" max="3595" width="11.28515625" style="178" bestFit="1" customWidth="1"/>
    <col min="3596" max="3596" width="7.7109375" style="178" bestFit="1" customWidth="1"/>
    <col min="3597" max="3597" width="10" style="178" bestFit="1" customWidth="1"/>
    <col min="3598" max="3598" width="8.85546875" style="178" customWidth="1"/>
    <col min="3599" max="3599" width="8.5703125" style="178" customWidth="1"/>
    <col min="3600" max="3600" width="6.7109375" style="178" customWidth="1"/>
    <col min="3601" max="3601" width="9.140625" style="178" bestFit="1" customWidth="1"/>
    <col min="3602" max="3602" width="8.5703125" style="178" bestFit="1" customWidth="1"/>
    <col min="3603" max="3603" width="8.140625" style="178" bestFit="1" customWidth="1"/>
    <col min="3604" max="3604" width="8.42578125" style="178" customWidth="1"/>
    <col min="3605" max="3605" width="7.28515625" style="178" customWidth="1"/>
    <col min="3606" max="3606" width="6" style="178" customWidth="1"/>
    <col min="3607" max="3607" width="6.85546875" style="178" customWidth="1"/>
    <col min="3608" max="3608" width="7.5703125" style="178" bestFit="1" customWidth="1"/>
    <col min="3609" max="3609" width="7.42578125" style="178" customWidth="1"/>
    <col min="3610" max="3610" width="8" style="178" customWidth="1"/>
    <col min="3611" max="3611" width="22.42578125" style="178" customWidth="1"/>
    <col min="3612" max="3612" width="26" style="178" bestFit="1" customWidth="1"/>
    <col min="3613" max="3613" width="11.7109375" style="178" bestFit="1" customWidth="1"/>
    <col min="3614" max="3614" width="3.28515625" style="178" bestFit="1" customWidth="1"/>
    <col min="3615" max="3615" width="4.7109375" style="178" bestFit="1" customWidth="1"/>
    <col min="3616" max="3616" width="16.140625" style="178" bestFit="1" customWidth="1"/>
    <col min="3617" max="3617" width="3.28515625" style="178" bestFit="1" customWidth="1"/>
    <col min="3618" max="3618" width="5.85546875" style="178" bestFit="1" customWidth="1"/>
    <col min="3619" max="3620" width="11.42578125" style="178"/>
    <col min="3621" max="3621" width="19" style="178" customWidth="1"/>
    <col min="3622" max="3834" width="11.42578125" style="178"/>
    <col min="3835" max="3836" width="2.7109375" style="178" customWidth="1"/>
    <col min="3837" max="3837" width="4.85546875" style="178" bestFit="1" customWidth="1"/>
    <col min="3838" max="3839" width="2.7109375" style="178" customWidth="1"/>
    <col min="3840" max="3840" width="4.85546875" style="178" bestFit="1" customWidth="1"/>
    <col min="3841" max="3841" width="7.42578125" style="178" bestFit="1" customWidth="1"/>
    <col min="3842" max="3842" width="7.85546875" style="178" bestFit="1" customWidth="1"/>
    <col min="3843" max="3843" width="5.28515625" style="178" bestFit="1" customWidth="1"/>
    <col min="3844" max="3844" width="6.5703125" style="178" bestFit="1" customWidth="1"/>
    <col min="3845" max="3845" width="4.85546875" style="178" bestFit="1" customWidth="1"/>
    <col min="3846" max="3846" width="6.5703125" style="178" bestFit="1" customWidth="1"/>
    <col min="3847" max="3847" width="9.28515625" style="178" customWidth="1"/>
    <col min="3848" max="3848" width="7.28515625" style="178" customWidth="1"/>
    <col min="3849" max="3849" width="9.42578125" style="178" bestFit="1" customWidth="1"/>
    <col min="3850" max="3850" width="7.140625" style="178" bestFit="1" customWidth="1"/>
    <col min="3851" max="3851" width="11.28515625" style="178" bestFit="1" customWidth="1"/>
    <col min="3852" max="3852" width="7.7109375" style="178" bestFit="1" customWidth="1"/>
    <col min="3853" max="3853" width="10" style="178" bestFit="1" customWidth="1"/>
    <col min="3854" max="3854" width="8.85546875" style="178" customWidth="1"/>
    <col min="3855" max="3855" width="8.5703125" style="178" customWidth="1"/>
    <col min="3856" max="3856" width="6.7109375" style="178" customWidth="1"/>
    <col min="3857" max="3857" width="9.140625" style="178" bestFit="1" customWidth="1"/>
    <col min="3858" max="3858" width="8.5703125" style="178" bestFit="1" customWidth="1"/>
    <col min="3859" max="3859" width="8.140625" style="178" bestFit="1" customWidth="1"/>
    <col min="3860" max="3860" width="8.42578125" style="178" customWidth="1"/>
    <col min="3861" max="3861" width="7.28515625" style="178" customWidth="1"/>
    <col min="3862" max="3862" width="6" style="178" customWidth="1"/>
    <col min="3863" max="3863" width="6.85546875" style="178" customWidth="1"/>
    <col min="3864" max="3864" width="7.5703125" style="178" bestFit="1" customWidth="1"/>
    <col min="3865" max="3865" width="7.42578125" style="178" customWidth="1"/>
    <col min="3866" max="3866" width="8" style="178" customWidth="1"/>
    <col min="3867" max="3867" width="22.42578125" style="178" customWidth="1"/>
    <col min="3868" max="3868" width="26" style="178" bestFit="1" customWidth="1"/>
    <col min="3869" max="3869" width="11.7109375" style="178" bestFit="1" customWidth="1"/>
    <col min="3870" max="3870" width="3.28515625" style="178" bestFit="1" customWidth="1"/>
    <col min="3871" max="3871" width="4.7109375" style="178" bestFit="1" customWidth="1"/>
    <col min="3872" max="3872" width="16.140625" style="178" bestFit="1" customWidth="1"/>
    <col min="3873" max="3873" width="3.28515625" style="178" bestFit="1" customWidth="1"/>
    <col min="3874" max="3874" width="5.85546875" style="178" bestFit="1" customWidth="1"/>
    <col min="3875" max="3876" width="11.42578125" style="178"/>
    <col min="3877" max="3877" width="19" style="178" customWidth="1"/>
    <col min="3878" max="4090" width="11.42578125" style="178"/>
    <col min="4091" max="4092" width="2.7109375" style="178" customWidth="1"/>
    <col min="4093" max="4093" width="4.85546875" style="178" bestFit="1" customWidth="1"/>
    <col min="4094" max="4095" width="2.7109375" style="178" customWidth="1"/>
    <col min="4096" max="4096" width="4.85546875" style="178" bestFit="1" customWidth="1"/>
    <col min="4097" max="4097" width="7.42578125" style="178" bestFit="1" customWidth="1"/>
    <col min="4098" max="4098" width="7.85546875" style="178" bestFit="1" customWidth="1"/>
    <col min="4099" max="4099" width="5.28515625" style="178" bestFit="1" customWidth="1"/>
    <col min="4100" max="4100" width="6.5703125" style="178" bestFit="1" customWidth="1"/>
    <col min="4101" max="4101" width="4.85546875" style="178" bestFit="1" customWidth="1"/>
    <col min="4102" max="4102" width="6.5703125" style="178" bestFit="1" customWidth="1"/>
    <col min="4103" max="4103" width="9.28515625" style="178" customWidth="1"/>
    <col min="4104" max="4104" width="7.28515625" style="178" customWidth="1"/>
    <col min="4105" max="4105" width="9.42578125" style="178" bestFit="1" customWidth="1"/>
    <col min="4106" max="4106" width="7.140625" style="178" bestFit="1" customWidth="1"/>
    <col min="4107" max="4107" width="11.28515625" style="178" bestFit="1" customWidth="1"/>
    <col min="4108" max="4108" width="7.7109375" style="178" bestFit="1" customWidth="1"/>
    <col min="4109" max="4109" width="10" style="178" bestFit="1" customWidth="1"/>
    <col min="4110" max="4110" width="8.85546875" style="178" customWidth="1"/>
    <col min="4111" max="4111" width="8.5703125" style="178" customWidth="1"/>
    <col min="4112" max="4112" width="6.7109375" style="178" customWidth="1"/>
    <col min="4113" max="4113" width="9.140625" style="178" bestFit="1" customWidth="1"/>
    <col min="4114" max="4114" width="8.5703125" style="178" bestFit="1" customWidth="1"/>
    <col min="4115" max="4115" width="8.140625" style="178" bestFit="1" customWidth="1"/>
    <col min="4116" max="4116" width="8.42578125" style="178" customWidth="1"/>
    <col min="4117" max="4117" width="7.28515625" style="178" customWidth="1"/>
    <col min="4118" max="4118" width="6" style="178" customWidth="1"/>
    <col min="4119" max="4119" width="6.85546875" style="178" customWidth="1"/>
    <col min="4120" max="4120" width="7.5703125" style="178" bestFit="1" customWidth="1"/>
    <col min="4121" max="4121" width="7.42578125" style="178" customWidth="1"/>
    <col min="4122" max="4122" width="8" style="178" customWidth="1"/>
    <col min="4123" max="4123" width="22.42578125" style="178" customWidth="1"/>
    <col min="4124" max="4124" width="26" style="178" bestFit="1" customWidth="1"/>
    <col min="4125" max="4125" width="11.7109375" style="178" bestFit="1" customWidth="1"/>
    <col min="4126" max="4126" width="3.28515625" style="178" bestFit="1" customWidth="1"/>
    <col min="4127" max="4127" width="4.7109375" style="178" bestFit="1" customWidth="1"/>
    <col min="4128" max="4128" width="16.140625" style="178" bestFit="1" customWidth="1"/>
    <col min="4129" max="4129" width="3.28515625" style="178" bestFit="1" customWidth="1"/>
    <col min="4130" max="4130" width="5.85546875" style="178" bestFit="1" customWidth="1"/>
    <col min="4131" max="4132" width="11.42578125" style="178"/>
    <col min="4133" max="4133" width="19" style="178" customWidth="1"/>
    <col min="4134" max="4346" width="11.42578125" style="178"/>
    <col min="4347" max="4348" width="2.7109375" style="178" customWidth="1"/>
    <col min="4349" max="4349" width="4.85546875" style="178" bestFit="1" customWidth="1"/>
    <col min="4350" max="4351" width="2.7109375" style="178" customWidth="1"/>
    <col min="4352" max="4352" width="4.85546875" style="178" bestFit="1" customWidth="1"/>
    <col min="4353" max="4353" width="7.42578125" style="178" bestFit="1" customWidth="1"/>
    <col min="4354" max="4354" width="7.85546875" style="178" bestFit="1" customWidth="1"/>
    <col min="4355" max="4355" width="5.28515625" style="178" bestFit="1" customWidth="1"/>
    <col min="4356" max="4356" width="6.5703125" style="178" bestFit="1" customWidth="1"/>
    <col min="4357" max="4357" width="4.85546875" style="178" bestFit="1" customWidth="1"/>
    <col min="4358" max="4358" width="6.5703125" style="178" bestFit="1" customWidth="1"/>
    <col min="4359" max="4359" width="9.28515625" style="178" customWidth="1"/>
    <col min="4360" max="4360" width="7.28515625" style="178" customWidth="1"/>
    <col min="4361" max="4361" width="9.42578125" style="178" bestFit="1" customWidth="1"/>
    <col min="4362" max="4362" width="7.140625" style="178" bestFit="1" customWidth="1"/>
    <col min="4363" max="4363" width="11.28515625" style="178" bestFit="1" customWidth="1"/>
    <col min="4364" max="4364" width="7.7109375" style="178" bestFit="1" customWidth="1"/>
    <col min="4365" max="4365" width="10" style="178" bestFit="1" customWidth="1"/>
    <col min="4366" max="4366" width="8.85546875" style="178" customWidth="1"/>
    <col min="4367" max="4367" width="8.5703125" style="178" customWidth="1"/>
    <col min="4368" max="4368" width="6.7109375" style="178" customWidth="1"/>
    <col min="4369" max="4369" width="9.140625" style="178" bestFit="1" customWidth="1"/>
    <col min="4370" max="4370" width="8.5703125" style="178" bestFit="1" customWidth="1"/>
    <col min="4371" max="4371" width="8.140625" style="178" bestFit="1" customWidth="1"/>
    <col min="4372" max="4372" width="8.42578125" style="178" customWidth="1"/>
    <col min="4373" max="4373" width="7.28515625" style="178" customWidth="1"/>
    <col min="4374" max="4374" width="6" style="178" customWidth="1"/>
    <col min="4375" max="4375" width="6.85546875" style="178" customWidth="1"/>
    <col min="4376" max="4376" width="7.5703125" style="178" bestFit="1" customWidth="1"/>
    <col min="4377" max="4377" width="7.42578125" style="178" customWidth="1"/>
    <col min="4378" max="4378" width="8" style="178" customWidth="1"/>
    <col min="4379" max="4379" width="22.42578125" style="178" customWidth="1"/>
    <col min="4380" max="4380" width="26" style="178" bestFit="1" customWidth="1"/>
    <col min="4381" max="4381" width="11.7109375" style="178" bestFit="1" customWidth="1"/>
    <col min="4382" max="4382" width="3.28515625" style="178" bestFit="1" customWidth="1"/>
    <col min="4383" max="4383" width="4.7109375" style="178" bestFit="1" customWidth="1"/>
    <col min="4384" max="4384" width="16.140625" style="178" bestFit="1" customWidth="1"/>
    <col min="4385" max="4385" width="3.28515625" style="178" bestFit="1" customWidth="1"/>
    <col min="4386" max="4386" width="5.85546875" style="178" bestFit="1" customWidth="1"/>
    <col min="4387" max="4388" width="11.42578125" style="178"/>
    <col min="4389" max="4389" width="19" style="178" customWidth="1"/>
    <col min="4390" max="4602" width="11.42578125" style="178"/>
    <col min="4603" max="4604" width="2.7109375" style="178" customWidth="1"/>
    <col min="4605" max="4605" width="4.85546875" style="178" bestFit="1" customWidth="1"/>
    <col min="4606" max="4607" width="2.7109375" style="178" customWidth="1"/>
    <col min="4608" max="4608" width="4.85546875" style="178" bestFit="1" customWidth="1"/>
    <col min="4609" max="4609" width="7.42578125" style="178" bestFit="1" customWidth="1"/>
    <col min="4610" max="4610" width="7.85546875" style="178" bestFit="1" customWidth="1"/>
    <col min="4611" max="4611" width="5.28515625" style="178" bestFit="1" customWidth="1"/>
    <col min="4612" max="4612" width="6.5703125" style="178" bestFit="1" customWidth="1"/>
    <col min="4613" max="4613" width="4.85546875" style="178" bestFit="1" customWidth="1"/>
    <col min="4614" max="4614" width="6.5703125" style="178" bestFit="1" customWidth="1"/>
    <col min="4615" max="4615" width="9.28515625" style="178" customWidth="1"/>
    <col min="4616" max="4616" width="7.28515625" style="178" customWidth="1"/>
    <col min="4617" max="4617" width="9.42578125" style="178" bestFit="1" customWidth="1"/>
    <col min="4618" max="4618" width="7.140625" style="178" bestFit="1" customWidth="1"/>
    <col min="4619" max="4619" width="11.28515625" style="178" bestFit="1" customWidth="1"/>
    <col min="4620" max="4620" width="7.7109375" style="178" bestFit="1" customWidth="1"/>
    <col min="4621" max="4621" width="10" style="178" bestFit="1" customWidth="1"/>
    <col min="4622" max="4622" width="8.85546875" style="178" customWidth="1"/>
    <col min="4623" max="4623" width="8.5703125" style="178" customWidth="1"/>
    <col min="4624" max="4624" width="6.7109375" style="178" customWidth="1"/>
    <col min="4625" max="4625" width="9.140625" style="178" bestFit="1" customWidth="1"/>
    <col min="4626" max="4626" width="8.5703125" style="178" bestFit="1" customWidth="1"/>
    <col min="4627" max="4627" width="8.140625" style="178" bestFit="1" customWidth="1"/>
    <col min="4628" max="4628" width="8.42578125" style="178" customWidth="1"/>
    <col min="4629" max="4629" width="7.28515625" style="178" customWidth="1"/>
    <col min="4630" max="4630" width="6" style="178" customWidth="1"/>
    <col min="4631" max="4631" width="6.85546875" style="178" customWidth="1"/>
    <col min="4632" max="4632" width="7.5703125" style="178" bestFit="1" customWidth="1"/>
    <col min="4633" max="4633" width="7.42578125" style="178" customWidth="1"/>
    <col min="4634" max="4634" width="8" style="178" customWidth="1"/>
    <col min="4635" max="4635" width="22.42578125" style="178" customWidth="1"/>
    <col min="4636" max="4636" width="26" style="178" bestFit="1" customWidth="1"/>
    <col min="4637" max="4637" width="11.7109375" style="178" bestFit="1" customWidth="1"/>
    <col min="4638" max="4638" width="3.28515625" style="178" bestFit="1" customWidth="1"/>
    <col min="4639" max="4639" width="4.7109375" style="178" bestFit="1" customWidth="1"/>
    <col min="4640" max="4640" width="16.140625" style="178" bestFit="1" customWidth="1"/>
    <col min="4641" max="4641" width="3.28515625" style="178" bestFit="1" customWidth="1"/>
    <col min="4642" max="4642" width="5.85546875" style="178" bestFit="1" customWidth="1"/>
    <col min="4643" max="4644" width="11.42578125" style="178"/>
    <col min="4645" max="4645" width="19" style="178" customWidth="1"/>
    <col min="4646" max="4858" width="11.42578125" style="178"/>
    <col min="4859" max="4860" width="2.7109375" style="178" customWidth="1"/>
    <col min="4861" max="4861" width="4.85546875" style="178" bestFit="1" customWidth="1"/>
    <col min="4862" max="4863" width="2.7109375" style="178" customWidth="1"/>
    <col min="4864" max="4864" width="4.85546875" style="178" bestFit="1" customWidth="1"/>
    <col min="4865" max="4865" width="7.42578125" style="178" bestFit="1" customWidth="1"/>
    <col min="4866" max="4866" width="7.85546875" style="178" bestFit="1" customWidth="1"/>
    <col min="4867" max="4867" width="5.28515625" style="178" bestFit="1" customWidth="1"/>
    <col min="4868" max="4868" width="6.5703125" style="178" bestFit="1" customWidth="1"/>
    <col min="4869" max="4869" width="4.85546875" style="178" bestFit="1" customWidth="1"/>
    <col min="4870" max="4870" width="6.5703125" style="178" bestFit="1" customWidth="1"/>
    <col min="4871" max="4871" width="9.28515625" style="178" customWidth="1"/>
    <col min="4872" max="4872" width="7.28515625" style="178" customWidth="1"/>
    <col min="4873" max="4873" width="9.42578125" style="178" bestFit="1" customWidth="1"/>
    <col min="4874" max="4874" width="7.140625" style="178" bestFit="1" customWidth="1"/>
    <col min="4875" max="4875" width="11.28515625" style="178" bestFit="1" customWidth="1"/>
    <col min="4876" max="4876" width="7.7109375" style="178" bestFit="1" customWidth="1"/>
    <col min="4877" max="4877" width="10" style="178" bestFit="1" customWidth="1"/>
    <col min="4878" max="4878" width="8.85546875" style="178" customWidth="1"/>
    <col min="4879" max="4879" width="8.5703125" style="178" customWidth="1"/>
    <col min="4880" max="4880" width="6.7109375" style="178" customWidth="1"/>
    <col min="4881" max="4881" width="9.140625" style="178" bestFit="1" customWidth="1"/>
    <col min="4882" max="4882" width="8.5703125" style="178" bestFit="1" customWidth="1"/>
    <col min="4883" max="4883" width="8.140625" style="178" bestFit="1" customWidth="1"/>
    <col min="4884" max="4884" width="8.42578125" style="178" customWidth="1"/>
    <col min="4885" max="4885" width="7.28515625" style="178" customWidth="1"/>
    <col min="4886" max="4886" width="6" style="178" customWidth="1"/>
    <col min="4887" max="4887" width="6.85546875" style="178" customWidth="1"/>
    <col min="4888" max="4888" width="7.5703125" style="178" bestFit="1" customWidth="1"/>
    <col min="4889" max="4889" width="7.42578125" style="178" customWidth="1"/>
    <col min="4890" max="4890" width="8" style="178" customWidth="1"/>
    <col min="4891" max="4891" width="22.42578125" style="178" customWidth="1"/>
    <col min="4892" max="4892" width="26" style="178" bestFit="1" customWidth="1"/>
    <col min="4893" max="4893" width="11.7109375" style="178" bestFit="1" customWidth="1"/>
    <col min="4894" max="4894" width="3.28515625" style="178" bestFit="1" customWidth="1"/>
    <col min="4895" max="4895" width="4.7109375" style="178" bestFit="1" customWidth="1"/>
    <col min="4896" max="4896" width="16.140625" style="178" bestFit="1" customWidth="1"/>
    <col min="4897" max="4897" width="3.28515625" style="178" bestFit="1" customWidth="1"/>
    <col min="4898" max="4898" width="5.85546875" style="178" bestFit="1" customWidth="1"/>
    <col min="4899" max="4900" width="11.42578125" style="178"/>
    <col min="4901" max="4901" width="19" style="178" customWidth="1"/>
    <col min="4902" max="5114" width="11.42578125" style="178"/>
    <col min="5115" max="5116" width="2.7109375" style="178" customWidth="1"/>
    <col min="5117" max="5117" width="4.85546875" style="178" bestFit="1" customWidth="1"/>
    <col min="5118" max="5119" width="2.7109375" style="178" customWidth="1"/>
    <col min="5120" max="5120" width="4.85546875" style="178" bestFit="1" customWidth="1"/>
    <col min="5121" max="5121" width="7.42578125" style="178" bestFit="1" customWidth="1"/>
    <col min="5122" max="5122" width="7.85546875" style="178" bestFit="1" customWidth="1"/>
    <col min="5123" max="5123" width="5.28515625" style="178" bestFit="1" customWidth="1"/>
    <col min="5124" max="5124" width="6.5703125" style="178" bestFit="1" customWidth="1"/>
    <col min="5125" max="5125" width="4.85546875" style="178" bestFit="1" customWidth="1"/>
    <col min="5126" max="5126" width="6.5703125" style="178" bestFit="1" customWidth="1"/>
    <col min="5127" max="5127" width="9.28515625" style="178" customWidth="1"/>
    <col min="5128" max="5128" width="7.28515625" style="178" customWidth="1"/>
    <col min="5129" max="5129" width="9.42578125" style="178" bestFit="1" customWidth="1"/>
    <col min="5130" max="5130" width="7.140625" style="178" bestFit="1" customWidth="1"/>
    <col min="5131" max="5131" width="11.28515625" style="178" bestFit="1" customWidth="1"/>
    <col min="5132" max="5132" width="7.7109375" style="178" bestFit="1" customWidth="1"/>
    <col min="5133" max="5133" width="10" style="178" bestFit="1" customWidth="1"/>
    <col min="5134" max="5134" width="8.85546875" style="178" customWidth="1"/>
    <col min="5135" max="5135" width="8.5703125" style="178" customWidth="1"/>
    <col min="5136" max="5136" width="6.7109375" style="178" customWidth="1"/>
    <col min="5137" max="5137" width="9.140625" style="178" bestFit="1" customWidth="1"/>
    <col min="5138" max="5138" width="8.5703125" style="178" bestFit="1" customWidth="1"/>
    <col min="5139" max="5139" width="8.140625" style="178" bestFit="1" customWidth="1"/>
    <col min="5140" max="5140" width="8.42578125" style="178" customWidth="1"/>
    <col min="5141" max="5141" width="7.28515625" style="178" customWidth="1"/>
    <col min="5142" max="5142" width="6" style="178" customWidth="1"/>
    <col min="5143" max="5143" width="6.85546875" style="178" customWidth="1"/>
    <col min="5144" max="5144" width="7.5703125" style="178" bestFit="1" customWidth="1"/>
    <col min="5145" max="5145" width="7.42578125" style="178" customWidth="1"/>
    <col min="5146" max="5146" width="8" style="178" customWidth="1"/>
    <col min="5147" max="5147" width="22.42578125" style="178" customWidth="1"/>
    <col min="5148" max="5148" width="26" style="178" bestFit="1" customWidth="1"/>
    <col min="5149" max="5149" width="11.7109375" style="178" bestFit="1" customWidth="1"/>
    <col min="5150" max="5150" width="3.28515625" style="178" bestFit="1" customWidth="1"/>
    <col min="5151" max="5151" width="4.7109375" style="178" bestFit="1" customWidth="1"/>
    <col min="5152" max="5152" width="16.140625" style="178" bestFit="1" customWidth="1"/>
    <col min="5153" max="5153" width="3.28515625" style="178" bestFit="1" customWidth="1"/>
    <col min="5154" max="5154" width="5.85546875" style="178" bestFit="1" customWidth="1"/>
    <col min="5155" max="5156" width="11.42578125" style="178"/>
    <col min="5157" max="5157" width="19" style="178" customWidth="1"/>
    <col min="5158" max="5370" width="11.42578125" style="178"/>
    <col min="5371" max="5372" width="2.7109375" style="178" customWidth="1"/>
    <col min="5373" max="5373" width="4.85546875" style="178" bestFit="1" customWidth="1"/>
    <col min="5374" max="5375" width="2.7109375" style="178" customWidth="1"/>
    <col min="5376" max="5376" width="4.85546875" style="178" bestFit="1" customWidth="1"/>
    <col min="5377" max="5377" width="7.42578125" style="178" bestFit="1" customWidth="1"/>
    <col min="5378" max="5378" width="7.85546875" style="178" bestFit="1" customWidth="1"/>
    <col min="5379" max="5379" width="5.28515625" style="178" bestFit="1" customWidth="1"/>
    <col min="5380" max="5380" width="6.5703125" style="178" bestFit="1" customWidth="1"/>
    <col min="5381" max="5381" width="4.85546875" style="178" bestFit="1" customWidth="1"/>
    <col min="5382" max="5382" width="6.5703125" style="178" bestFit="1" customWidth="1"/>
    <col min="5383" max="5383" width="9.28515625" style="178" customWidth="1"/>
    <col min="5384" max="5384" width="7.28515625" style="178" customWidth="1"/>
    <col min="5385" max="5385" width="9.42578125" style="178" bestFit="1" customWidth="1"/>
    <col min="5386" max="5386" width="7.140625" style="178" bestFit="1" customWidth="1"/>
    <col min="5387" max="5387" width="11.28515625" style="178" bestFit="1" customWidth="1"/>
    <col min="5388" max="5388" width="7.7109375" style="178" bestFit="1" customWidth="1"/>
    <col min="5389" max="5389" width="10" style="178" bestFit="1" customWidth="1"/>
    <col min="5390" max="5390" width="8.85546875" style="178" customWidth="1"/>
    <col min="5391" max="5391" width="8.5703125" style="178" customWidth="1"/>
    <col min="5392" max="5392" width="6.7109375" style="178" customWidth="1"/>
    <col min="5393" max="5393" width="9.140625" style="178" bestFit="1" customWidth="1"/>
    <col min="5394" max="5394" width="8.5703125" style="178" bestFit="1" customWidth="1"/>
    <col min="5395" max="5395" width="8.140625" style="178" bestFit="1" customWidth="1"/>
    <col min="5396" max="5396" width="8.42578125" style="178" customWidth="1"/>
    <col min="5397" max="5397" width="7.28515625" style="178" customWidth="1"/>
    <col min="5398" max="5398" width="6" style="178" customWidth="1"/>
    <col min="5399" max="5399" width="6.85546875" style="178" customWidth="1"/>
    <col min="5400" max="5400" width="7.5703125" style="178" bestFit="1" customWidth="1"/>
    <col min="5401" max="5401" width="7.42578125" style="178" customWidth="1"/>
    <col min="5402" max="5402" width="8" style="178" customWidth="1"/>
    <col min="5403" max="5403" width="22.42578125" style="178" customWidth="1"/>
    <col min="5404" max="5404" width="26" style="178" bestFit="1" customWidth="1"/>
    <col min="5405" max="5405" width="11.7109375" style="178" bestFit="1" customWidth="1"/>
    <col min="5406" max="5406" width="3.28515625" style="178" bestFit="1" customWidth="1"/>
    <col min="5407" max="5407" width="4.7109375" style="178" bestFit="1" customWidth="1"/>
    <col min="5408" max="5408" width="16.140625" style="178" bestFit="1" customWidth="1"/>
    <col min="5409" max="5409" width="3.28515625" style="178" bestFit="1" customWidth="1"/>
    <col min="5410" max="5410" width="5.85546875" style="178" bestFit="1" customWidth="1"/>
    <col min="5411" max="5412" width="11.42578125" style="178"/>
    <col min="5413" max="5413" width="19" style="178" customWidth="1"/>
    <col min="5414" max="5626" width="11.42578125" style="178"/>
    <col min="5627" max="5628" width="2.7109375" style="178" customWidth="1"/>
    <col min="5629" max="5629" width="4.85546875" style="178" bestFit="1" customWidth="1"/>
    <col min="5630" max="5631" width="2.7109375" style="178" customWidth="1"/>
    <col min="5632" max="5632" width="4.85546875" style="178" bestFit="1" customWidth="1"/>
    <col min="5633" max="5633" width="7.42578125" style="178" bestFit="1" customWidth="1"/>
    <col min="5634" max="5634" width="7.85546875" style="178" bestFit="1" customWidth="1"/>
    <col min="5635" max="5635" width="5.28515625" style="178" bestFit="1" customWidth="1"/>
    <col min="5636" max="5636" width="6.5703125" style="178" bestFit="1" customWidth="1"/>
    <col min="5637" max="5637" width="4.85546875" style="178" bestFit="1" customWidth="1"/>
    <col min="5638" max="5638" width="6.5703125" style="178" bestFit="1" customWidth="1"/>
    <col min="5639" max="5639" width="9.28515625" style="178" customWidth="1"/>
    <col min="5640" max="5640" width="7.28515625" style="178" customWidth="1"/>
    <col min="5641" max="5641" width="9.42578125" style="178" bestFit="1" customWidth="1"/>
    <col min="5642" max="5642" width="7.140625" style="178" bestFit="1" customWidth="1"/>
    <col min="5643" max="5643" width="11.28515625" style="178" bestFit="1" customWidth="1"/>
    <col min="5644" max="5644" width="7.7109375" style="178" bestFit="1" customWidth="1"/>
    <col min="5645" max="5645" width="10" style="178" bestFit="1" customWidth="1"/>
    <col min="5646" max="5646" width="8.85546875" style="178" customWidth="1"/>
    <col min="5647" max="5647" width="8.5703125" style="178" customWidth="1"/>
    <col min="5648" max="5648" width="6.7109375" style="178" customWidth="1"/>
    <col min="5649" max="5649" width="9.140625" style="178" bestFit="1" customWidth="1"/>
    <col min="5650" max="5650" width="8.5703125" style="178" bestFit="1" customWidth="1"/>
    <col min="5651" max="5651" width="8.140625" style="178" bestFit="1" customWidth="1"/>
    <col min="5652" max="5652" width="8.42578125" style="178" customWidth="1"/>
    <col min="5653" max="5653" width="7.28515625" style="178" customWidth="1"/>
    <col min="5654" max="5654" width="6" style="178" customWidth="1"/>
    <col min="5655" max="5655" width="6.85546875" style="178" customWidth="1"/>
    <col min="5656" max="5656" width="7.5703125" style="178" bestFit="1" customWidth="1"/>
    <col min="5657" max="5657" width="7.42578125" style="178" customWidth="1"/>
    <col min="5658" max="5658" width="8" style="178" customWidth="1"/>
    <col min="5659" max="5659" width="22.42578125" style="178" customWidth="1"/>
    <col min="5660" max="5660" width="26" style="178" bestFit="1" customWidth="1"/>
    <col min="5661" max="5661" width="11.7109375" style="178" bestFit="1" customWidth="1"/>
    <col min="5662" max="5662" width="3.28515625" style="178" bestFit="1" customWidth="1"/>
    <col min="5663" max="5663" width="4.7109375" style="178" bestFit="1" customWidth="1"/>
    <col min="5664" max="5664" width="16.140625" style="178" bestFit="1" customWidth="1"/>
    <col min="5665" max="5665" width="3.28515625" style="178" bestFit="1" customWidth="1"/>
    <col min="5666" max="5666" width="5.85546875" style="178" bestFit="1" customWidth="1"/>
    <col min="5667" max="5668" width="11.42578125" style="178"/>
    <col min="5669" max="5669" width="19" style="178" customWidth="1"/>
    <col min="5670" max="5882" width="11.42578125" style="178"/>
    <col min="5883" max="5884" width="2.7109375" style="178" customWidth="1"/>
    <col min="5885" max="5885" width="4.85546875" style="178" bestFit="1" customWidth="1"/>
    <col min="5886" max="5887" width="2.7109375" style="178" customWidth="1"/>
    <col min="5888" max="5888" width="4.85546875" style="178" bestFit="1" customWidth="1"/>
    <col min="5889" max="5889" width="7.42578125" style="178" bestFit="1" customWidth="1"/>
    <col min="5890" max="5890" width="7.85546875" style="178" bestFit="1" customWidth="1"/>
    <col min="5891" max="5891" width="5.28515625" style="178" bestFit="1" customWidth="1"/>
    <col min="5892" max="5892" width="6.5703125" style="178" bestFit="1" customWidth="1"/>
    <col min="5893" max="5893" width="4.85546875" style="178" bestFit="1" customWidth="1"/>
    <col min="5894" max="5894" width="6.5703125" style="178" bestFit="1" customWidth="1"/>
    <col min="5895" max="5895" width="9.28515625" style="178" customWidth="1"/>
    <col min="5896" max="5896" width="7.28515625" style="178" customWidth="1"/>
    <col min="5897" max="5897" width="9.42578125" style="178" bestFit="1" customWidth="1"/>
    <col min="5898" max="5898" width="7.140625" style="178" bestFit="1" customWidth="1"/>
    <col min="5899" max="5899" width="11.28515625" style="178" bestFit="1" customWidth="1"/>
    <col min="5900" max="5900" width="7.7109375" style="178" bestFit="1" customWidth="1"/>
    <col min="5901" max="5901" width="10" style="178" bestFit="1" customWidth="1"/>
    <col min="5902" max="5902" width="8.85546875" style="178" customWidth="1"/>
    <col min="5903" max="5903" width="8.5703125" style="178" customWidth="1"/>
    <col min="5904" max="5904" width="6.7109375" style="178" customWidth="1"/>
    <col min="5905" max="5905" width="9.140625" style="178" bestFit="1" customWidth="1"/>
    <col min="5906" max="5906" width="8.5703125" style="178" bestFit="1" customWidth="1"/>
    <col min="5907" max="5907" width="8.140625" style="178" bestFit="1" customWidth="1"/>
    <col min="5908" max="5908" width="8.42578125" style="178" customWidth="1"/>
    <col min="5909" max="5909" width="7.28515625" style="178" customWidth="1"/>
    <col min="5910" max="5910" width="6" style="178" customWidth="1"/>
    <col min="5911" max="5911" width="6.85546875" style="178" customWidth="1"/>
    <col min="5912" max="5912" width="7.5703125" style="178" bestFit="1" customWidth="1"/>
    <col min="5913" max="5913" width="7.42578125" style="178" customWidth="1"/>
    <col min="5914" max="5914" width="8" style="178" customWidth="1"/>
    <col min="5915" max="5915" width="22.42578125" style="178" customWidth="1"/>
    <col min="5916" max="5916" width="26" style="178" bestFit="1" customWidth="1"/>
    <col min="5917" max="5917" width="11.7109375" style="178" bestFit="1" customWidth="1"/>
    <col min="5918" max="5918" width="3.28515625" style="178" bestFit="1" customWidth="1"/>
    <col min="5919" max="5919" width="4.7109375" style="178" bestFit="1" customWidth="1"/>
    <col min="5920" max="5920" width="16.140625" style="178" bestFit="1" customWidth="1"/>
    <col min="5921" max="5921" width="3.28515625" style="178" bestFit="1" customWidth="1"/>
    <col min="5922" max="5922" width="5.85546875" style="178" bestFit="1" customWidth="1"/>
    <col min="5923" max="5924" width="11.42578125" style="178"/>
    <col min="5925" max="5925" width="19" style="178" customWidth="1"/>
    <col min="5926" max="6138" width="11.42578125" style="178"/>
    <col min="6139" max="6140" width="2.7109375" style="178" customWidth="1"/>
    <col min="6141" max="6141" width="4.85546875" style="178" bestFit="1" customWidth="1"/>
    <col min="6142" max="6143" width="2.7109375" style="178" customWidth="1"/>
    <col min="6144" max="6144" width="4.85546875" style="178" bestFit="1" customWidth="1"/>
    <col min="6145" max="6145" width="7.42578125" style="178" bestFit="1" customWidth="1"/>
    <col min="6146" max="6146" width="7.85546875" style="178" bestFit="1" customWidth="1"/>
    <col min="6147" max="6147" width="5.28515625" style="178" bestFit="1" customWidth="1"/>
    <col min="6148" max="6148" width="6.5703125" style="178" bestFit="1" customWidth="1"/>
    <col min="6149" max="6149" width="4.85546875" style="178" bestFit="1" customWidth="1"/>
    <col min="6150" max="6150" width="6.5703125" style="178" bestFit="1" customWidth="1"/>
    <col min="6151" max="6151" width="9.28515625" style="178" customWidth="1"/>
    <col min="6152" max="6152" width="7.28515625" style="178" customWidth="1"/>
    <col min="6153" max="6153" width="9.42578125" style="178" bestFit="1" customWidth="1"/>
    <col min="6154" max="6154" width="7.140625" style="178" bestFit="1" customWidth="1"/>
    <col min="6155" max="6155" width="11.28515625" style="178" bestFit="1" customWidth="1"/>
    <col min="6156" max="6156" width="7.7109375" style="178" bestFit="1" customWidth="1"/>
    <col min="6157" max="6157" width="10" style="178" bestFit="1" customWidth="1"/>
    <col min="6158" max="6158" width="8.85546875" style="178" customWidth="1"/>
    <col min="6159" max="6159" width="8.5703125" style="178" customWidth="1"/>
    <col min="6160" max="6160" width="6.7109375" style="178" customWidth="1"/>
    <col min="6161" max="6161" width="9.140625" style="178" bestFit="1" customWidth="1"/>
    <col min="6162" max="6162" width="8.5703125" style="178" bestFit="1" customWidth="1"/>
    <col min="6163" max="6163" width="8.140625" style="178" bestFit="1" customWidth="1"/>
    <col min="6164" max="6164" width="8.42578125" style="178" customWidth="1"/>
    <col min="6165" max="6165" width="7.28515625" style="178" customWidth="1"/>
    <col min="6166" max="6166" width="6" style="178" customWidth="1"/>
    <col min="6167" max="6167" width="6.85546875" style="178" customWidth="1"/>
    <col min="6168" max="6168" width="7.5703125" style="178" bestFit="1" customWidth="1"/>
    <col min="6169" max="6169" width="7.42578125" style="178" customWidth="1"/>
    <col min="6170" max="6170" width="8" style="178" customWidth="1"/>
    <col min="6171" max="6171" width="22.42578125" style="178" customWidth="1"/>
    <col min="6172" max="6172" width="26" style="178" bestFit="1" customWidth="1"/>
    <col min="6173" max="6173" width="11.7109375" style="178" bestFit="1" customWidth="1"/>
    <col min="6174" max="6174" width="3.28515625" style="178" bestFit="1" customWidth="1"/>
    <col min="6175" max="6175" width="4.7109375" style="178" bestFit="1" customWidth="1"/>
    <col min="6176" max="6176" width="16.140625" style="178" bestFit="1" customWidth="1"/>
    <col min="6177" max="6177" width="3.28515625" style="178" bestFit="1" customWidth="1"/>
    <col min="6178" max="6178" width="5.85546875" style="178" bestFit="1" customWidth="1"/>
    <col min="6179" max="6180" width="11.42578125" style="178"/>
    <col min="6181" max="6181" width="19" style="178" customWidth="1"/>
    <col min="6182" max="6394" width="11.42578125" style="178"/>
    <col min="6395" max="6396" width="2.7109375" style="178" customWidth="1"/>
    <col min="6397" max="6397" width="4.85546875" style="178" bestFit="1" customWidth="1"/>
    <col min="6398" max="6399" width="2.7109375" style="178" customWidth="1"/>
    <col min="6400" max="6400" width="4.85546875" style="178" bestFit="1" customWidth="1"/>
    <col min="6401" max="6401" width="7.42578125" style="178" bestFit="1" customWidth="1"/>
    <col min="6402" max="6402" width="7.85546875" style="178" bestFit="1" customWidth="1"/>
    <col min="6403" max="6403" width="5.28515625" style="178" bestFit="1" customWidth="1"/>
    <col min="6404" max="6404" width="6.5703125" style="178" bestFit="1" customWidth="1"/>
    <col min="6405" max="6405" width="4.85546875" style="178" bestFit="1" customWidth="1"/>
    <col min="6406" max="6406" width="6.5703125" style="178" bestFit="1" customWidth="1"/>
    <col min="6407" max="6407" width="9.28515625" style="178" customWidth="1"/>
    <col min="6408" max="6408" width="7.28515625" style="178" customWidth="1"/>
    <col min="6409" max="6409" width="9.42578125" style="178" bestFit="1" customWidth="1"/>
    <col min="6410" max="6410" width="7.140625" style="178" bestFit="1" customWidth="1"/>
    <col min="6411" max="6411" width="11.28515625" style="178" bestFit="1" customWidth="1"/>
    <col min="6412" max="6412" width="7.7109375" style="178" bestFit="1" customWidth="1"/>
    <col min="6413" max="6413" width="10" style="178" bestFit="1" customWidth="1"/>
    <col min="6414" max="6414" width="8.85546875" style="178" customWidth="1"/>
    <col min="6415" max="6415" width="8.5703125" style="178" customWidth="1"/>
    <col min="6416" max="6416" width="6.7109375" style="178" customWidth="1"/>
    <col min="6417" max="6417" width="9.140625" style="178" bestFit="1" customWidth="1"/>
    <col min="6418" max="6418" width="8.5703125" style="178" bestFit="1" customWidth="1"/>
    <col min="6419" max="6419" width="8.140625" style="178" bestFit="1" customWidth="1"/>
    <col min="6420" max="6420" width="8.42578125" style="178" customWidth="1"/>
    <col min="6421" max="6421" width="7.28515625" style="178" customWidth="1"/>
    <col min="6422" max="6422" width="6" style="178" customWidth="1"/>
    <col min="6423" max="6423" width="6.85546875" style="178" customWidth="1"/>
    <col min="6424" max="6424" width="7.5703125" style="178" bestFit="1" customWidth="1"/>
    <col min="6425" max="6425" width="7.42578125" style="178" customWidth="1"/>
    <col min="6426" max="6426" width="8" style="178" customWidth="1"/>
    <col min="6427" max="6427" width="22.42578125" style="178" customWidth="1"/>
    <col min="6428" max="6428" width="26" style="178" bestFit="1" customWidth="1"/>
    <col min="6429" max="6429" width="11.7109375" style="178" bestFit="1" customWidth="1"/>
    <col min="6430" max="6430" width="3.28515625" style="178" bestFit="1" customWidth="1"/>
    <col min="6431" max="6431" width="4.7109375" style="178" bestFit="1" customWidth="1"/>
    <col min="6432" max="6432" width="16.140625" style="178" bestFit="1" customWidth="1"/>
    <col min="6433" max="6433" width="3.28515625" style="178" bestFit="1" customWidth="1"/>
    <col min="6434" max="6434" width="5.85546875" style="178" bestFit="1" customWidth="1"/>
    <col min="6435" max="6436" width="11.42578125" style="178"/>
    <col min="6437" max="6437" width="19" style="178" customWidth="1"/>
    <col min="6438" max="6650" width="11.42578125" style="178"/>
    <col min="6651" max="6652" width="2.7109375" style="178" customWidth="1"/>
    <col min="6653" max="6653" width="4.85546875" style="178" bestFit="1" customWidth="1"/>
    <col min="6654" max="6655" width="2.7109375" style="178" customWidth="1"/>
    <col min="6656" max="6656" width="4.85546875" style="178" bestFit="1" customWidth="1"/>
    <col min="6657" max="6657" width="7.42578125" style="178" bestFit="1" customWidth="1"/>
    <col min="6658" max="6658" width="7.85546875" style="178" bestFit="1" customWidth="1"/>
    <col min="6659" max="6659" width="5.28515625" style="178" bestFit="1" customWidth="1"/>
    <col min="6660" max="6660" width="6.5703125" style="178" bestFit="1" customWidth="1"/>
    <col min="6661" max="6661" width="4.85546875" style="178" bestFit="1" customWidth="1"/>
    <col min="6662" max="6662" width="6.5703125" style="178" bestFit="1" customWidth="1"/>
    <col min="6663" max="6663" width="9.28515625" style="178" customWidth="1"/>
    <col min="6664" max="6664" width="7.28515625" style="178" customWidth="1"/>
    <col min="6665" max="6665" width="9.42578125" style="178" bestFit="1" customWidth="1"/>
    <col min="6666" max="6666" width="7.140625" style="178" bestFit="1" customWidth="1"/>
    <col min="6667" max="6667" width="11.28515625" style="178" bestFit="1" customWidth="1"/>
    <col min="6668" max="6668" width="7.7109375" style="178" bestFit="1" customWidth="1"/>
    <col min="6669" max="6669" width="10" style="178" bestFit="1" customWidth="1"/>
    <col min="6670" max="6670" width="8.85546875" style="178" customWidth="1"/>
    <col min="6671" max="6671" width="8.5703125" style="178" customWidth="1"/>
    <col min="6672" max="6672" width="6.7109375" style="178" customWidth="1"/>
    <col min="6673" max="6673" width="9.140625" style="178" bestFit="1" customWidth="1"/>
    <col min="6674" max="6674" width="8.5703125" style="178" bestFit="1" customWidth="1"/>
    <col min="6675" max="6675" width="8.140625" style="178" bestFit="1" customWidth="1"/>
    <col min="6676" max="6676" width="8.42578125" style="178" customWidth="1"/>
    <col min="6677" max="6677" width="7.28515625" style="178" customWidth="1"/>
    <col min="6678" max="6678" width="6" style="178" customWidth="1"/>
    <col min="6679" max="6679" width="6.85546875" style="178" customWidth="1"/>
    <col min="6680" max="6680" width="7.5703125" style="178" bestFit="1" customWidth="1"/>
    <col min="6681" max="6681" width="7.42578125" style="178" customWidth="1"/>
    <col min="6682" max="6682" width="8" style="178" customWidth="1"/>
    <col min="6683" max="6683" width="22.42578125" style="178" customWidth="1"/>
    <col min="6684" max="6684" width="26" style="178" bestFit="1" customWidth="1"/>
    <col min="6685" max="6685" width="11.7109375" style="178" bestFit="1" customWidth="1"/>
    <col min="6686" max="6686" width="3.28515625" style="178" bestFit="1" customWidth="1"/>
    <col min="6687" max="6687" width="4.7109375" style="178" bestFit="1" customWidth="1"/>
    <col min="6688" max="6688" width="16.140625" style="178" bestFit="1" customWidth="1"/>
    <col min="6689" max="6689" width="3.28515625" style="178" bestFit="1" customWidth="1"/>
    <col min="6690" max="6690" width="5.85546875" style="178" bestFit="1" customWidth="1"/>
    <col min="6691" max="6692" width="11.42578125" style="178"/>
    <col min="6693" max="6693" width="19" style="178" customWidth="1"/>
    <col min="6694" max="6906" width="11.42578125" style="178"/>
    <col min="6907" max="6908" width="2.7109375" style="178" customWidth="1"/>
    <col min="6909" max="6909" width="4.85546875" style="178" bestFit="1" customWidth="1"/>
    <col min="6910" max="6911" width="2.7109375" style="178" customWidth="1"/>
    <col min="6912" max="6912" width="4.85546875" style="178" bestFit="1" customWidth="1"/>
    <col min="6913" max="6913" width="7.42578125" style="178" bestFit="1" customWidth="1"/>
    <col min="6914" max="6914" width="7.85546875" style="178" bestFit="1" customWidth="1"/>
    <col min="6915" max="6915" width="5.28515625" style="178" bestFit="1" customWidth="1"/>
    <col min="6916" max="6916" width="6.5703125" style="178" bestFit="1" customWidth="1"/>
    <col min="6917" max="6917" width="4.85546875" style="178" bestFit="1" customWidth="1"/>
    <col min="6918" max="6918" width="6.5703125" style="178" bestFit="1" customWidth="1"/>
    <col min="6919" max="6919" width="9.28515625" style="178" customWidth="1"/>
    <col min="6920" max="6920" width="7.28515625" style="178" customWidth="1"/>
    <col min="6921" max="6921" width="9.42578125" style="178" bestFit="1" customWidth="1"/>
    <col min="6922" max="6922" width="7.140625" style="178" bestFit="1" customWidth="1"/>
    <col min="6923" max="6923" width="11.28515625" style="178" bestFit="1" customWidth="1"/>
    <col min="6924" max="6924" width="7.7109375" style="178" bestFit="1" customWidth="1"/>
    <col min="6925" max="6925" width="10" style="178" bestFit="1" customWidth="1"/>
    <col min="6926" max="6926" width="8.85546875" style="178" customWidth="1"/>
    <col min="6927" max="6927" width="8.5703125" style="178" customWidth="1"/>
    <col min="6928" max="6928" width="6.7109375" style="178" customWidth="1"/>
    <col min="6929" max="6929" width="9.140625" style="178" bestFit="1" customWidth="1"/>
    <col min="6930" max="6930" width="8.5703125" style="178" bestFit="1" customWidth="1"/>
    <col min="6931" max="6931" width="8.140625" style="178" bestFit="1" customWidth="1"/>
    <col min="6932" max="6932" width="8.42578125" style="178" customWidth="1"/>
    <col min="6933" max="6933" width="7.28515625" style="178" customWidth="1"/>
    <col min="6934" max="6934" width="6" style="178" customWidth="1"/>
    <col min="6935" max="6935" width="6.85546875" style="178" customWidth="1"/>
    <col min="6936" max="6936" width="7.5703125" style="178" bestFit="1" customWidth="1"/>
    <col min="6937" max="6937" width="7.42578125" style="178" customWidth="1"/>
    <col min="6938" max="6938" width="8" style="178" customWidth="1"/>
    <col min="6939" max="6939" width="22.42578125" style="178" customWidth="1"/>
    <col min="6940" max="6940" width="26" style="178" bestFit="1" customWidth="1"/>
    <col min="6941" max="6941" width="11.7109375" style="178" bestFit="1" customWidth="1"/>
    <col min="6942" max="6942" width="3.28515625" style="178" bestFit="1" customWidth="1"/>
    <col min="6943" max="6943" width="4.7109375" style="178" bestFit="1" customWidth="1"/>
    <col min="6944" max="6944" width="16.140625" style="178" bestFit="1" customWidth="1"/>
    <col min="6945" max="6945" width="3.28515625" style="178" bestFit="1" customWidth="1"/>
    <col min="6946" max="6946" width="5.85546875" style="178" bestFit="1" customWidth="1"/>
    <col min="6947" max="6948" width="11.42578125" style="178"/>
    <col min="6949" max="6949" width="19" style="178" customWidth="1"/>
    <col min="6950" max="7162" width="11.42578125" style="178"/>
    <col min="7163" max="7164" width="2.7109375" style="178" customWidth="1"/>
    <col min="7165" max="7165" width="4.85546875" style="178" bestFit="1" customWidth="1"/>
    <col min="7166" max="7167" width="2.7109375" style="178" customWidth="1"/>
    <col min="7168" max="7168" width="4.85546875" style="178" bestFit="1" customWidth="1"/>
    <col min="7169" max="7169" width="7.42578125" style="178" bestFit="1" customWidth="1"/>
    <col min="7170" max="7170" width="7.85546875" style="178" bestFit="1" customWidth="1"/>
    <col min="7171" max="7171" width="5.28515625" style="178" bestFit="1" customWidth="1"/>
    <col min="7172" max="7172" width="6.5703125" style="178" bestFit="1" customWidth="1"/>
    <col min="7173" max="7173" width="4.85546875" style="178" bestFit="1" customWidth="1"/>
    <col min="7174" max="7174" width="6.5703125" style="178" bestFit="1" customWidth="1"/>
    <col min="7175" max="7175" width="9.28515625" style="178" customWidth="1"/>
    <col min="7176" max="7176" width="7.28515625" style="178" customWidth="1"/>
    <col min="7177" max="7177" width="9.42578125" style="178" bestFit="1" customWidth="1"/>
    <col min="7178" max="7178" width="7.140625" style="178" bestFit="1" customWidth="1"/>
    <col min="7179" max="7179" width="11.28515625" style="178" bestFit="1" customWidth="1"/>
    <col min="7180" max="7180" width="7.7109375" style="178" bestFit="1" customWidth="1"/>
    <col min="7181" max="7181" width="10" style="178" bestFit="1" customWidth="1"/>
    <col min="7182" max="7182" width="8.85546875" style="178" customWidth="1"/>
    <col min="7183" max="7183" width="8.5703125" style="178" customWidth="1"/>
    <col min="7184" max="7184" width="6.7109375" style="178" customWidth="1"/>
    <col min="7185" max="7185" width="9.140625" style="178" bestFit="1" customWidth="1"/>
    <col min="7186" max="7186" width="8.5703125" style="178" bestFit="1" customWidth="1"/>
    <col min="7187" max="7187" width="8.140625" style="178" bestFit="1" customWidth="1"/>
    <col min="7188" max="7188" width="8.42578125" style="178" customWidth="1"/>
    <col min="7189" max="7189" width="7.28515625" style="178" customWidth="1"/>
    <col min="7190" max="7190" width="6" style="178" customWidth="1"/>
    <col min="7191" max="7191" width="6.85546875" style="178" customWidth="1"/>
    <col min="7192" max="7192" width="7.5703125" style="178" bestFit="1" customWidth="1"/>
    <col min="7193" max="7193" width="7.42578125" style="178" customWidth="1"/>
    <col min="7194" max="7194" width="8" style="178" customWidth="1"/>
    <col min="7195" max="7195" width="22.42578125" style="178" customWidth="1"/>
    <col min="7196" max="7196" width="26" style="178" bestFit="1" customWidth="1"/>
    <col min="7197" max="7197" width="11.7109375" style="178" bestFit="1" customWidth="1"/>
    <col min="7198" max="7198" width="3.28515625" style="178" bestFit="1" customWidth="1"/>
    <col min="7199" max="7199" width="4.7109375" style="178" bestFit="1" customWidth="1"/>
    <col min="7200" max="7200" width="16.140625" style="178" bestFit="1" customWidth="1"/>
    <col min="7201" max="7201" width="3.28515625" style="178" bestFit="1" customWidth="1"/>
    <col min="7202" max="7202" width="5.85546875" style="178" bestFit="1" customWidth="1"/>
    <col min="7203" max="7204" width="11.42578125" style="178"/>
    <col min="7205" max="7205" width="19" style="178" customWidth="1"/>
    <col min="7206" max="7418" width="11.42578125" style="178"/>
    <col min="7419" max="7420" width="2.7109375" style="178" customWidth="1"/>
    <col min="7421" max="7421" width="4.85546875" style="178" bestFit="1" customWidth="1"/>
    <col min="7422" max="7423" width="2.7109375" style="178" customWidth="1"/>
    <col min="7424" max="7424" width="4.85546875" style="178" bestFit="1" customWidth="1"/>
    <col min="7425" max="7425" width="7.42578125" style="178" bestFit="1" customWidth="1"/>
    <col min="7426" max="7426" width="7.85546875" style="178" bestFit="1" customWidth="1"/>
    <col min="7427" max="7427" width="5.28515625" style="178" bestFit="1" customWidth="1"/>
    <col min="7428" max="7428" width="6.5703125" style="178" bestFit="1" customWidth="1"/>
    <col min="7429" max="7429" width="4.85546875" style="178" bestFit="1" customWidth="1"/>
    <col min="7430" max="7430" width="6.5703125" style="178" bestFit="1" customWidth="1"/>
    <col min="7431" max="7431" width="9.28515625" style="178" customWidth="1"/>
    <col min="7432" max="7432" width="7.28515625" style="178" customWidth="1"/>
    <col min="7433" max="7433" width="9.42578125" style="178" bestFit="1" customWidth="1"/>
    <col min="7434" max="7434" width="7.140625" style="178" bestFit="1" customWidth="1"/>
    <col min="7435" max="7435" width="11.28515625" style="178" bestFit="1" customWidth="1"/>
    <col min="7436" max="7436" width="7.7109375" style="178" bestFit="1" customWidth="1"/>
    <col min="7437" max="7437" width="10" style="178" bestFit="1" customWidth="1"/>
    <col min="7438" max="7438" width="8.85546875" style="178" customWidth="1"/>
    <col min="7439" max="7439" width="8.5703125" style="178" customWidth="1"/>
    <col min="7440" max="7440" width="6.7109375" style="178" customWidth="1"/>
    <col min="7441" max="7441" width="9.140625" style="178" bestFit="1" customWidth="1"/>
    <col min="7442" max="7442" width="8.5703125" style="178" bestFit="1" customWidth="1"/>
    <col min="7443" max="7443" width="8.140625" style="178" bestFit="1" customWidth="1"/>
    <col min="7444" max="7444" width="8.42578125" style="178" customWidth="1"/>
    <col min="7445" max="7445" width="7.28515625" style="178" customWidth="1"/>
    <col min="7446" max="7446" width="6" style="178" customWidth="1"/>
    <col min="7447" max="7447" width="6.85546875" style="178" customWidth="1"/>
    <col min="7448" max="7448" width="7.5703125" style="178" bestFit="1" customWidth="1"/>
    <col min="7449" max="7449" width="7.42578125" style="178" customWidth="1"/>
    <col min="7450" max="7450" width="8" style="178" customWidth="1"/>
    <col min="7451" max="7451" width="22.42578125" style="178" customWidth="1"/>
    <col min="7452" max="7452" width="26" style="178" bestFit="1" customWidth="1"/>
    <col min="7453" max="7453" width="11.7109375" style="178" bestFit="1" customWidth="1"/>
    <col min="7454" max="7454" width="3.28515625" style="178" bestFit="1" customWidth="1"/>
    <col min="7455" max="7455" width="4.7109375" style="178" bestFit="1" customWidth="1"/>
    <col min="7456" max="7456" width="16.140625" style="178" bestFit="1" customWidth="1"/>
    <col min="7457" max="7457" width="3.28515625" style="178" bestFit="1" customWidth="1"/>
    <col min="7458" max="7458" width="5.85546875" style="178" bestFit="1" customWidth="1"/>
    <col min="7459" max="7460" width="11.42578125" style="178"/>
    <col min="7461" max="7461" width="19" style="178" customWidth="1"/>
    <col min="7462" max="7674" width="11.42578125" style="178"/>
    <col min="7675" max="7676" width="2.7109375" style="178" customWidth="1"/>
    <col min="7677" max="7677" width="4.85546875" style="178" bestFit="1" customWidth="1"/>
    <col min="7678" max="7679" width="2.7109375" style="178" customWidth="1"/>
    <col min="7680" max="7680" width="4.85546875" style="178" bestFit="1" customWidth="1"/>
    <col min="7681" max="7681" width="7.42578125" style="178" bestFit="1" customWidth="1"/>
    <col min="7682" max="7682" width="7.85546875" style="178" bestFit="1" customWidth="1"/>
    <col min="7683" max="7683" width="5.28515625" style="178" bestFit="1" customWidth="1"/>
    <col min="7684" max="7684" width="6.5703125" style="178" bestFit="1" customWidth="1"/>
    <col min="7685" max="7685" width="4.85546875" style="178" bestFit="1" customWidth="1"/>
    <col min="7686" max="7686" width="6.5703125" style="178" bestFit="1" customWidth="1"/>
    <col min="7687" max="7687" width="9.28515625" style="178" customWidth="1"/>
    <col min="7688" max="7688" width="7.28515625" style="178" customWidth="1"/>
    <col min="7689" max="7689" width="9.42578125" style="178" bestFit="1" customWidth="1"/>
    <col min="7690" max="7690" width="7.140625" style="178" bestFit="1" customWidth="1"/>
    <col min="7691" max="7691" width="11.28515625" style="178" bestFit="1" customWidth="1"/>
    <col min="7692" max="7692" width="7.7109375" style="178" bestFit="1" customWidth="1"/>
    <col min="7693" max="7693" width="10" style="178" bestFit="1" customWidth="1"/>
    <col min="7694" max="7694" width="8.85546875" style="178" customWidth="1"/>
    <col min="7695" max="7695" width="8.5703125" style="178" customWidth="1"/>
    <col min="7696" max="7696" width="6.7109375" style="178" customWidth="1"/>
    <col min="7697" max="7697" width="9.140625" style="178" bestFit="1" customWidth="1"/>
    <col min="7698" max="7698" width="8.5703125" style="178" bestFit="1" customWidth="1"/>
    <col min="7699" max="7699" width="8.140625" style="178" bestFit="1" customWidth="1"/>
    <col min="7700" max="7700" width="8.42578125" style="178" customWidth="1"/>
    <col min="7701" max="7701" width="7.28515625" style="178" customWidth="1"/>
    <col min="7702" max="7702" width="6" style="178" customWidth="1"/>
    <col min="7703" max="7703" width="6.85546875" style="178" customWidth="1"/>
    <col min="7704" max="7704" width="7.5703125" style="178" bestFit="1" customWidth="1"/>
    <col min="7705" max="7705" width="7.42578125" style="178" customWidth="1"/>
    <col min="7706" max="7706" width="8" style="178" customWidth="1"/>
    <col min="7707" max="7707" width="22.42578125" style="178" customWidth="1"/>
    <col min="7708" max="7708" width="26" style="178" bestFit="1" customWidth="1"/>
    <col min="7709" max="7709" width="11.7109375" style="178" bestFit="1" customWidth="1"/>
    <col min="7710" max="7710" width="3.28515625" style="178" bestFit="1" customWidth="1"/>
    <col min="7711" max="7711" width="4.7109375" style="178" bestFit="1" customWidth="1"/>
    <col min="7712" max="7712" width="16.140625" style="178" bestFit="1" customWidth="1"/>
    <col min="7713" max="7713" width="3.28515625" style="178" bestFit="1" customWidth="1"/>
    <col min="7714" max="7714" width="5.85546875" style="178" bestFit="1" customWidth="1"/>
    <col min="7715" max="7716" width="11.42578125" style="178"/>
    <col min="7717" max="7717" width="19" style="178" customWidth="1"/>
    <col min="7718" max="7930" width="11.42578125" style="178"/>
    <col min="7931" max="7932" width="2.7109375" style="178" customWidth="1"/>
    <col min="7933" max="7933" width="4.85546875" style="178" bestFit="1" customWidth="1"/>
    <col min="7934" max="7935" width="2.7109375" style="178" customWidth="1"/>
    <col min="7936" max="7936" width="4.85546875" style="178" bestFit="1" customWidth="1"/>
    <col min="7937" max="7937" width="7.42578125" style="178" bestFit="1" customWidth="1"/>
    <col min="7938" max="7938" width="7.85546875" style="178" bestFit="1" customWidth="1"/>
    <col min="7939" max="7939" width="5.28515625" style="178" bestFit="1" customWidth="1"/>
    <col min="7940" max="7940" width="6.5703125" style="178" bestFit="1" customWidth="1"/>
    <col min="7941" max="7941" width="4.85546875" style="178" bestFit="1" customWidth="1"/>
    <col min="7942" max="7942" width="6.5703125" style="178" bestFit="1" customWidth="1"/>
    <col min="7943" max="7943" width="9.28515625" style="178" customWidth="1"/>
    <col min="7944" max="7944" width="7.28515625" style="178" customWidth="1"/>
    <col min="7945" max="7945" width="9.42578125" style="178" bestFit="1" customWidth="1"/>
    <col min="7946" max="7946" width="7.140625" style="178" bestFit="1" customWidth="1"/>
    <col min="7947" max="7947" width="11.28515625" style="178" bestFit="1" customWidth="1"/>
    <col min="7948" max="7948" width="7.7109375" style="178" bestFit="1" customWidth="1"/>
    <col min="7949" max="7949" width="10" style="178" bestFit="1" customWidth="1"/>
    <col min="7950" max="7950" width="8.85546875" style="178" customWidth="1"/>
    <col min="7951" max="7951" width="8.5703125" style="178" customWidth="1"/>
    <col min="7952" max="7952" width="6.7109375" style="178" customWidth="1"/>
    <col min="7953" max="7953" width="9.140625" style="178" bestFit="1" customWidth="1"/>
    <col min="7954" max="7954" width="8.5703125" style="178" bestFit="1" customWidth="1"/>
    <col min="7955" max="7955" width="8.140625" style="178" bestFit="1" customWidth="1"/>
    <col min="7956" max="7956" width="8.42578125" style="178" customWidth="1"/>
    <col min="7957" max="7957" width="7.28515625" style="178" customWidth="1"/>
    <col min="7958" max="7958" width="6" style="178" customWidth="1"/>
    <col min="7959" max="7959" width="6.85546875" style="178" customWidth="1"/>
    <col min="7960" max="7960" width="7.5703125" style="178" bestFit="1" customWidth="1"/>
    <col min="7961" max="7961" width="7.42578125" style="178" customWidth="1"/>
    <col min="7962" max="7962" width="8" style="178" customWidth="1"/>
    <col min="7963" max="7963" width="22.42578125" style="178" customWidth="1"/>
    <col min="7964" max="7964" width="26" style="178" bestFit="1" customWidth="1"/>
    <col min="7965" max="7965" width="11.7109375" style="178" bestFit="1" customWidth="1"/>
    <col min="7966" max="7966" width="3.28515625" style="178" bestFit="1" customWidth="1"/>
    <col min="7967" max="7967" width="4.7109375" style="178" bestFit="1" customWidth="1"/>
    <col min="7968" max="7968" width="16.140625" style="178" bestFit="1" customWidth="1"/>
    <col min="7969" max="7969" width="3.28515625" style="178" bestFit="1" customWidth="1"/>
    <col min="7970" max="7970" width="5.85546875" style="178" bestFit="1" customWidth="1"/>
    <col min="7971" max="7972" width="11.42578125" style="178"/>
    <col min="7973" max="7973" width="19" style="178" customWidth="1"/>
    <col min="7974" max="8186" width="11.42578125" style="178"/>
    <col min="8187" max="8188" width="2.7109375" style="178" customWidth="1"/>
    <col min="8189" max="8189" width="4.85546875" style="178" bestFit="1" customWidth="1"/>
    <col min="8190" max="8191" width="2.7109375" style="178" customWidth="1"/>
    <col min="8192" max="8192" width="4.85546875" style="178" bestFit="1" customWidth="1"/>
    <col min="8193" max="8193" width="7.42578125" style="178" bestFit="1" customWidth="1"/>
    <col min="8194" max="8194" width="7.85546875" style="178" bestFit="1" customWidth="1"/>
    <col min="8195" max="8195" width="5.28515625" style="178" bestFit="1" customWidth="1"/>
    <col min="8196" max="8196" width="6.5703125" style="178" bestFit="1" customWidth="1"/>
    <col min="8197" max="8197" width="4.85546875" style="178" bestFit="1" customWidth="1"/>
    <col min="8198" max="8198" width="6.5703125" style="178" bestFit="1" customWidth="1"/>
    <col min="8199" max="8199" width="9.28515625" style="178" customWidth="1"/>
    <col min="8200" max="8200" width="7.28515625" style="178" customWidth="1"/>
    <col min="8201" max="8201" width="9.42578125" style="178" bestFit="1" customWidth="1"/>
    <col min="8202" max="8202" width="7.140625" style="178" bestFit="1" customWidth="1"/>
    <col min="8203" max="8203" width="11.28515625" style="178" bestFit="1" customWidth="1"/>
    <col min="8204" max="8204" width="7.7109375" style="178" bestFit="1" customWidth="1"/>
    <col min="8205" max="8205" width="10" style="178" bestFit="1" customWidth="1"/>
    <col min="8206" max="8206" width="8.85546875" style="178" customWidth="1"/>
    <col min="8207" max="8207" width="8.5703125" style="178" customWidth="1"/>
    <col min="8208" max="8208" width="6.7109375" style="178" customWidth="1"/>
    <col min="8209" max="8209" width="9.140625" style="178" bestFit="1" customWidth="1"/>
    <col min="8210" max="8210" width="8.5703125" style="178" bestFit="1" customWidth="1"/>
    <col min="8211" max="8211" width="8.140625" style="178" bestFit="1" customWidth="1"/>
    <col min="8212" max="8212" width="8.42578125" style="178" customWidth="1"/>
    <col min="8213" max="8213" width="7.28515625" style="178" customWidth="1"/>
    <col min="8214" max="8214" width="6" style="178" customWidth="1"/>
    <col min="8215" max="8215" width="6.85546875" style="178" customWidth="1"/>
    <col min="8216" max="8216" width="7.5703125" style="178" bestFit="1" customWidth="1"/>
    <col min="8217" max="8217" width="7.42578125" style="178" customWidth="1"/>
    <col min="8218" max="8218" width="8" style="178" customWidth="1"/>
    <col min="8219" max="8219" width="22.42578125" style="178" customWidth="1"/>
    <col min="8220" max="8220" width="26" style="178" bestFit="1" customWidth="1"/>
    <col min="8221" max="8221" width="11.7109375" style="178" bestFit="1" customWidth="1"/>
    <col min="8222" max="8222" width="3.28515625" style="178" bestFit="1" customWidth="1"/>
    <col min="8223" max="8223" width="4.7109375" style="178" bestFit="1" customWidth="1"/>
    <col min="8224" max="8224" width="16.140625" style="178" bestFit="1" customWidth="1"/>
    <col min="8225" max="8225" width="3.28515625" style="178" bestFit="1" customWidth="1"/>
    <col min="8226" max="8226" width="5.85546875" style="178" bestFit="1" customWidth="1"/>
    <col min="8227" max="8228" width="11.42578125" style="178"/>
    <col min="8229" max="8229" width="19" style="178" customWidth="1"/>
    <col min="8230" max="8442" width="11.42578125" style="178"/>
    <col min="8443" max="8444" width="2.7109375" style="178" customWidth="1"/>
    <col min="8445" max="8445" width="4.85546875" style="178" bestFit="1" customWidth="1"/>
    <col min="8446" max="8447" width="2.7109375" style="178" customWidth="1"/>
    <col min="8448" max="8448" width="4.85546875" style="178" bestFit="1" customWidth="1"/>
    <col min="8449" max="8449" width="7.42578125" style="178" bestFit="1" customWidth="1"/>
    <col min="8450" max="8450" width="7.85546875" style="178" bestFit="1" customWidth="1"/>
    <col min="8451" max="8451" width="5.28515625" style="178" bestFit="1" customWidth="1"/>
    <col min="8452" max="8452" width="6.5703125" style="178" bestFit="1" customWidth="1"/>
    <col min="8453" max="8453" width="4.85546875" style="178" bestFit="1" customWidth="1"/>
    <col min="8454" max="8454" width="6.5703125" style="178" bestFit="1" customWidth="1"/>
    <col min="8455" max="8455" width="9.28515625" style="178" customWidth="1"/>
    <col min="8456" max="8456" width="7.28515625" style="178" customWidth="1"/>
    <col min="8457" max="8457" width="9.42578125" style="178" bestFit="1" customWidth="1"/>
    <col min="8458" max="8458" width="7.140625" style="178" bestFit="1" customWidth="1"/>
    <col min="8459" max="8459" width="11.28515625" style="178" bestFit="1" customWidth="1"/>
    <col min="8460" max="8460" width="7.7109375" style="178" bestFit="1" customWidth="1"/>
    <col min="8461" max="8461" width="10" style="178" bestFit="1" customWidth="1"/>
    <col min="8462" max="8462" width="8.85546875" style="178" customWidth="1"/>
    <col min="8463" max="8463" width="8.5703125" style="178" customWidth="1"/>
    <col min="8464" max="8464" width="6.7109375" style="178" customWidth="1"/>
    <col min="8465" max="8465" width="9.140625" style="178" bestFit="1" customWidth="1"/>
    <col min="8466" max="8466" width="8.5703125" style="178" bestFit="1" customWidth="1"/>
    <col min="8467" max="8467" width="8.140625" style="178" bestFit="1" customWidth="1"/>
    <col min="8468" max="8468" width="8.42578125" style="178" customWidth="1"/>
    <col min="8469" max="8469" width="7.28515625" style="178" customWidth="1"/>
    <col min="8470" max="8470" width="6" style="178" customWidth="1"/>
    <col min="8471" max="8471" width="6.85546875" style="178" customWidth="1"/>
    <col min="8472" max="8472" width="7.5703125" style="178" bestFit="1" customWidth="1"/>
    <col min="8473" max="8473" width="7.42578125" style="178" customWidth="1"/>
    <col min="8474" max="8474" width="8" style="178" customWidth="1"/>
    <col min="8475" max="8475" width="22.42578125" style="178" customWidth="1"/>
    <col min="8476" max="8476" width="26" style="178" bestFit="1" customWidth="1"/>
    <col min="8477" max="8477" width="11.7109375" style="178" bestFit="1" customWidth="1"/>
    <col min="8478" max="8478" width="3.28515625" style="178" bestFit="1" customWidth="1"/>
    <col min="8479" max="8479" width="4.7109375" style="178" bestFit="1" customWidth="1"/>
    <col min="8480" max="8480" width="16.140625" style="178" bestFit="1" customWidth="1"/>
    <col min="8481" max="8481" width="3.28515625" style="178" bestFit="1" customWidth="1"/>
    <col min="8482" max="8482" width="5.85546875" style="178" bestFit="1" customWidth="1"/>
    <col min="8483" max="8484" width="11.42578125" style="178"/>
    <col min="8485" max="8485" width="19" style="178" customWidth="1"/>
    <col min="8486" max="8698" width="11.42578125" style="178"/>
    <col min="8699" max="8700" width="2.7109375" style="178" customWidth="1"/>
    <col min="8701" max="8701" width="4.85546875" style="178" bestFit="1" customWidth="1"/>
    <col min="8702" max="8703" width="2.7109375" style="178" customWidth="1"/>
    <col min="8704" max="8704" width="4.85546875" style="178" bestFit="1" customWidth="1"/>
    <col min="8705" max="8705" width="7.42578125" style="178" bestFit="1" customWidth="1"/>
    <col min="8706" max="8706" width="7.85546875" style="178" bestFit="1" customWidth="1"/>
    <col min="8707" max="8707" width="5.28515625" style="178" bestFit="1" customWidth="1"/>
    <col min="8708" max="8708" width="6.5703125" style="178" bestFit="1" customWidth="1"/>
    <col min="8709" max="8709" width="4.85546875" style="178" bestFit="1" customWidth="1"/>
    <col min="8710" max="8710" width="6.5703125" style="178" bestFit="1" customWidth="1"/>
    <col min="8711" max="8711" width="9.28515625" style="178" customWidth="1"/>
    <col min="8712" max="8712" width="7.28515625" style="178" customWidth="1"/>
    <col min="8713" max="8713" width="9.42578125" style="178" bestFit="1" customWidth="1"/>
    <col min="8714" max="8714" width="7.140625" style="178" bestFit="1" customWidth="1"/>
    <col min="8715" max="8715" width="11.28515625" style="178" bestFit="1" customWidth="1"/>
    <col min="8716" max="8716" width="7.7109375" style="178" bestFit="1" customWidth="1"/>
    <col min="8717" max="8717" width="10" style="178" bestFit="1" customWidth="1"/>
    <col min="8718" max="8718" width="8.85546875" style="178" customWidth="1"/>
    <col min="8719" max="8719" width="8.5703125" style="178" customWidth="1"/>
    <col min="8720" max="8720" width="6.7109375" style="178" customWidth="1"/>
    <col min="8721" max="8721" width="9.140625" style="178" bestFit="1" customWidth="1"/>
    <col min="8722" max="8722" width="8.5703125" style="178" bestFit="1" customWidth="1"/>
    <col min="8723" max="8723" width="8.140625" style="178" bestFit="1" customWidth="1"/>
    <col min="8724" max="8724" width="8.42578125" style="178" customWidth="1"/>
    <col min="8725" max="8725" width="7.28515625" style="178" customWidth="1"/>
    <col min="8726" max="8726" width="6" style="178" customWidth="1"/>
    <col min="8727" max="8727" width="6.85546875" style="178" customWidth="1"/>
    <col min="8728" max="8728" width="7.5703125" style="178" bestFit="1" customWidth="1"/>
    <col min="8729" max="8729" width="7.42578125" style="178" customWidth="1"/>
    <col min="8730" max="8730" width="8" style="178" customWidth="1"/>
    <col min="8731" max="8731" width="22.42578125" style="178" customWidth="1"/>
    <col min="8732" max="8732" width="26" style="178" bestFit="1" customWidth="1"/>
    <col min="8733" max="8733" width="11.7109375" style="178" bestFit="1" customWidth="1"/>
    <col min="8734" max="8734" width="3.28515625" style="178" bestFit="1" customWidth="1"/>
    <col min="8735" max="8735" width="4.7109375" style="178" bestFit="1" customWidth="1"/>
    <col min="8736" max="8736" width="16.140625" style="178" bestFit="1" customWidth="1"/>
    <col min="8737" max="8737" width="3.28515625" style="178" bestFit="1" customWidth="1"/>
    <col min="8738" max="8738" width="5.85546875" style="178" bestFit="1" customWidth="1"/>
    <col min="8739" max="8740" width="11.42578125" style="178"/>
    <col min="8741" max="8741" width="19" style="178" customWidth="1"/>
    <col min="8742" max="8954" width="11.42578125" style="178"/>
    <col min="8955" max="8956" width="2.7109375" style="178" customWidth="1"/>
    <col min="8957" max="8957" width="4.85546875" style="178" bestFit="1" customWidth="1"/>
    <col min="8958" max="8959" width="2.7109375" style="178" customWidth="1"/>
    <col min="8960" max="8960" width="4.85546875" style="178" bestFit="1" customWidth="1"/>
    <col min="8961" max="8961" width="7.42578125" style="178" bestFit="1" customWidth="1"/>
    <col min="8962" max="8962" width="7.85546875" style="178" bestFit="1" customWidth="1"/>
    <col min="8963" max="8963" width="5.28515625" style="178" bestFit="1" customWidth="1"/>
    <col min="8964" max="8964" width="6.5703125" style="178" bestFit="1" customWidth="1"/>
    <col min="8965" max="8965" width="4.85546875" style="178" bestFit="1" customWidth="1"/>
    <col min="8966" max="8966" width="6.5703125" style="178" bestFit="1" customWidth="1"/>
    <col min="8967" max="8967" width="9.28515625" style="178" customWidth="1"/>
    <col min="8968" max="8968" width="7.28515625" style="178" customWidth="1"/>
    <col min="8969" max="8969" width="9.42578125" style="178" bestFit="1" customWidth="1"/>
    <col min="8970" max="8970" width="7.140625" style="178" bestFit="1" customWidth="1"/>
    <col min="8971" max="8971" width="11.28515625" style="178" bestFit="1" customWidth="1"/>
    <col min="8972" max="8972" width="7.7109375" style="178" bestFit="1" customWidth="1"/>
    <col min="8973" max="8973" width="10" style="178" bestFit="1" customWidth="1"/>
    <col min="8974" max="8974" width="8.85546875" style="178" customWidth="1"/>
    <col min="8975" max="8975" width="8.5703125" style="178" customWidth="1"/>
    <col min="8976" max="8976" width="6.7109375" style="178" customWidth="1"/>
    <col min="8977" max="8977" width="9.140625" style="178" bestFit="1" customWidth="1"/>
    <col min="8978" max="8978" width="8.5703125" style="178" bestFit="1" customWidth="1"/>
    <col min="8979" max="8979" width="8.140625" style="178" bestFit="1" customWidth="1"/>
    <col min="8980" max="8980" width="8.42578125" style="178" customWidth="1"/>
    <col min="8981" max="8981" width="7.28515625" style="178" customWidth="1"/>
    <col min="8982" max="8982" width="6" style="178" customWidth="1"/>
    <col min="8983" max="8983" width="6.85546875" style="178" customWidth="1"/>
    <col min="8984" max="8984" width="7.5703125" style="178" bestFit="1" customWidth="1"/>
    <col min="8985" max="8985" width="7.42578125" style="178" customWidth="1"/>
    <col min="8986" max="8986" width="8" style="178" customWidth="1"/>
    <col min="8987" max="8987" width="22.42578125" style="178" customWidth="1"/>
    <col min="8988" max="8988" width="26" style="178" bestFit="1" customWidth="1"/>
    <col min="8989" max="8989" width="11.7109375" style="178" bestFit="1" customWidth="1"/>
    <col min="8990" max="8990" width="3.28515625" style="178" bestFit="1" customWidth="1"/>
    <col min="8991" max="8991" width="4.7109375" style="178" bestFit="1" customWidth="1"/>
    <col min="8992" max="8992" width="16.140625" style="178" bestFit="1" customWidth="1"/>
    <col min="8993" max="8993" width="3.28515625" style="178" bestFit="1" customWidth="1"/>
    <col min="8994" max="8994" width="5.85546875" style="178" bestFit="1" customWidth="1"/>
    <col min="8995" max="8996" width="11.42578125" style="178"/>
    <col min="8997" max="8997" width="19" style="178" customWidth="1"/>
    <col min="8998" max="9210" width="11.42578125" style="178"/>
    <col min="9211" max="9212" width="2.7109375" style="178" customWidth="1"/>
    <col min="9213" max="9213" width="4.85546875" style="178" bestFit="1" customWidth="1"/>
    <col min="9214" max="9215" width="2.7109375" style="178" customWidth="1"/>
    <col min="9216" max="9216" width="4.85546875" style="178" bestFit="1" customWidth="1"/>
    <col min="9217" max="9217" width="7.42578125" style="178" bestFit="1" customWidth="1"/>
    <col min="9218" max="9218" width="7.85546875" style="178" bestFit="1" customWidth="1"/>
    <col min="9219" max="9219" width="5.28515625" style="178" bestFit="1" customWidth="1"/>
    <col min="9220" max="9220" width="6.5703125" style="178" bestFit="1" customWidth="1"/>
    <col min="9221" max="9221" width="4.85546875" style="178" bestFit="1" customWidth="1"/>
    <col min="9222" max="9222" width="6.5703125" style="178" bestFit="1" customWidth="1"/>
    <col min="9223" max="9223" width="9.28515625" style="178" customWidth="1"/>
    <col min="9224" max="9224" width="7.28515625" style="178" customWidth="1"/>
    <col min="9225" max="9225" width="9.42578125" style="178" bestFit="1" customWidth="1"/>
    <col min="9226" max="9226" width="7.140625" style="178" bestFit="1" customWidth="1"/>
    <col min="9227" max="9227" width="11.28515625" style="178" bestFit="1" customWidth="1"/>
    <col min="9228" max="9228" width="7.7109375" style="178" bestFit="1" customWidth="1"/>
    <col min="9229" max="9229" width="10" style="178" bestFit="1" customWidth="1"/>
    <col min="9230" max="9230" width="8.85546875" style="178" customWidth="1"/>
    <col min="9231" max="9231" width="8.5703125" style="178" customWidth="1"/>
    <col min="9232" max="9232" width="6.7109375" style="178" customWidth="1"/>
    <col min="9233" max="9233" width="9.140625" style="178" bestFit="1" customWidth="1"/>
    <col min="9234" max="9234" width="8.5703125" style="178" bestFit="1" customWidth="1"/>
    <col min="9235" max="9235" width="8.140625" style="178" bestFit="1" customWidth="1"/>
    <col min="9236" max="9236" width="8.42578125" style="178" customWidth="1"/>
    <col min="9237" max="9237" width="7.28515625" style="178" customWidth="1"/>
    <col min="9238" max="9238" width="6" style="178" customWidth="1"/>
    <col min="9239" max="9239" width="6.85546875" style="178" customWidth="1"/>
    <col min="9240" max="9240" width="7.5703125" style="178" bestFit="1" customWidth="1"/>
    <col min="9241" max="9241" width="7.42578125" style="178" customWidth="1"/>
    <col min="9242" max="9242" width="8" style="178" customWidth="1"/>
    <col min="9243" max="9243" width="22.42578125" style="178" customWidth="1"/>
    <col min="9244" max="9244" width="26" style="178" bestFit="1" customWidth="1"/>
    <col min="9245" max="9245" width="11.7109375" style="178" bestFit="1" customWidth="1"/>
    <col min="9246" max="9246" width="3.28515625" style="178" bestFit="1" customWidth="1"/>
    <col min="9247" max="9247" width="4.7109375" style="178" bestFit="1" customWidth="1"/>
    <col min="9248" max="9248" width="16.140625" style="178" bestFit="1" customWidth="1"/>
    <col min="9249" max="9249" width="3.28515625" style="178" bestFit="1" customWidth="1"/>
    <col min="9250" max="9250" width="5.85546875" style="178" bestFit="1" customWidth="1"/>
    <col min="9251" max="9252" width="11.42578125" style="178"/>
    <col min="9253" max="9253" width="19" style="178" customWidth="1"/>
    <col min="9254" max="9466" width="11.42578125" style="178"/>
    <col min="9467" max="9468" width="2.7109375" style="178" customWidth="1"/>
    <col min="9469" max="9469" width="4.85546875" style="178" bestFit="1" customWidth="1"/>
    <col min="9470" max="9471" width="2.7109375" style="178" customWidth="1"/>
    <col min="9472" max="9472" width="4.85546875" style="178" bestFit="1" customWidth="1"/>
    <col min="9473" max="9473" width="7.42578125" style="178" bestFit="1" customWidth="1"/>
    <col min="9474" max="9474" width="7.85546875" style="178" bestFit="1" customWidth="1"/>
    <col min="9475" max="9475" width="5.28515625" style="178" bestFit="1" customWidth="1"/>
    <col min="9476" max="9476" width="6.5703125" style="178" bestFit="1" customWidth="1"/>
    <col min="9477" max="9477" width="4.85546875" style="178" bestFit="1" customWidth="1"/>
    <col min="9478" max="9478" width="6.5703125" style="178" bestFit="1" customWidth="1"/>
    <col min="9479" max="9479" width="9.28515625" style="178" customWidth="1"/>
    <col min="9480" max="9480" width="7.28515625" style="178" customWidth="1"/>
    <col min="9481" max="9481" width="9.42578125" style="178" bestFit="1" customWidth="1"/>
    <col min="9482" max="9482" width="7.140625" style="178" bestFit="1" customWidth="1"/>
    <col min="9483" max="9483" width="11.28515625" style="178" bestFit="1" customWidth="1"/>
    <col min="9484" max="9484" width="7.7109375" style="178" bestFit="1" customWidth="1"/>
    <col min="9485" max="9485" width="10" style="178" bestFit="1" customWidth="1"/>
    <col min="9486" max="9486" width="8.85546875" style="178" customWidth="1"/>
    <col min="9487" max="9487" width="8.5703125" style="178" customWidth="1"/>
    <col min="9488" max="9488" width="6.7109375" style="178" customWidth="1"/>
    <col min="9489" max="9489" width="9.140625" style="178" bestFit="1" customWidth="1"/>
    <col min="9490" max="9490" width="8.5703125" style="178" bestFit="1" customWidth="1"/>
    <col min="9491" max="9491" width="8.140625" style="178" bestFit="1" customWidth="1"/>
    <col min="9492" max="9492" width="8.42578125" style="178" customWidth="1"/>
    <col min="9493" max="9493" width="7.28515625" style="178" customWidth="1"/>
    <col min="9494" max="9494" width="6" style="178" customWidth="1"/>
    <col min="9495" max="9495" width="6.85546875" style="178" customWidth="1"/>
    <col min="9496" max="9496" width="7.5703125" style="178" bestFit="1" customWidth="1"/>
    <col min="9497" max="9497" width="7.42578125" style="178" customWidth="1"/>
    <col min="9498" max="9498" width="8" style="178" customWidth="1"/>
    <col min="9499" max="9499" width="22.42578125" style="178" customWidth="1"/>
    <col min="9500" max="9500" width="26" style="178" bestFit="1" customWidth="1"/>
    <col min="9501" max="9501" width="11.7109375" style="178" bestFit="1" customWidth="1"/>
    <col min="9502" max="9502" width="3.28515625" style="178" bestFit="1" customWidth="1"/>
    <col min="9503" max="9503" width="4.7109375" style="178" bestFit="1" customWidth="1"/>
    <col min="9504" max="9504" width="16.140625" style="178" bestFit="1" customWidth="1"/>
    <col min="9505" max="9505" width="3.28515625" style="178" bestFit="1" customWidth="1"/>
    <col min="9506" max="9506" width="5.85546875" style="178" bestFit="1" customWidth="1"/>
    <col min="9507" max="9508" width="11.42578125" style="178"/>
    <col min="9509" max="9509" width="19" style="178" customWidth="1"/>
    <col min="9510" max="9722" width="11.42578125" style="178"/>
    <col min="9723" max="9724" width="2.7109375" style="178" customWidth="1"/>
    <col min="9725" max="9725" width="4.85546875" style="178" bestFit="1" customWidth="1"/>
    <col min="9726" max="9727" width="2.7109375" style="178" customWidth="1"/>
    <col min="9728" max="9728" width="4.85546875" style="178" bestFit="1" customWidth="1"/>
    <col min="9729" max="9729" width="7.42578125" style="178" bestFit="1" customWidth="1"/>
    <col min="9730" max="9730" width="7.85546875" style="178" bestFit="1" customWidth="1"/>
    <col min="9731" max="9731" width="5.28515625" style="178" bestFit="1" customWidth="1"/>
    <col min="9732" max="9732" width="6.5703125" style="178" bestFit="1" customWidth="1"/>
    <col min="9733" max="9733" width="4.85546875" style="178" bestFit="1" customWidth="1"/>
    <col min="9734" max="9734" width="6.5703125" style="178" bestFit="1" customWidth="1"/>
    <col min="9735" max="9735" width="9.28515625" style="178" customWidth="1"/>
    <col min="9736" max="9736" width="7.28515625" style="178" customWidth="1"/>
    <col min="9737" max="9737" width="9.42578125" style="178" bestFit="1" customWidth="1"/>
    <col min="9738" max="9738" width="7.140625" style="178" bestFit="1" customWidth="1"/>
    <col min="9739" max="9739" width="11.28515625" style="178" bestFit="1" customWidth="1"/>
    <col min="9740" max="9740" width="7.7109375" style="178" bestFit="1" customWidth="1"/>
    <col min="9741" max="9741" width="10" style="178" bestFit="1" customWidth="1"/>
    <col min="9742" max="9742" width="8.85546875" style="178" customWidth="1"/>
    <col min="9743" max="9743" width="8.5703125" style="178" customWidth="1"/>
    <col min="9744" max="9744" width="6.7109375" style="178" customWidth="1"/>
    <col min="9745" max="9745" width="9.140625" style="178" bestFit="1" customWidth="1"/>
    <col min="9746" max="9746" width="8.5703125" style="178" bestFit="1" customWidth="1"/>
    <col min="9747" max="9747" width="8.140625" style="178" bestFit="1" customWidth="1"/>
    <col min="9748" max="9748" width="8.42578125" style="178" customWidth="1"/>
    <col min="9749" max="9749" width="7.28515625" style="178" customWidth="1"/>
    <col min="9750" max="9750" width="6" style="178" customWidth="1"/>
    <col min="9751" max="9751" width="6.85546875" style="178" customWidth="1"/>
    <col min="9752" max="9752" width="7.5703125" style="178" bestFit="1" customWidth="1"/>
    <col min="9753" max="9753" width="7.42578125" style="178" customWidth="1"/>
    <col min="9754" max="9754" width="8" style="178" customWidth="1"/>
    <col min="9755" max="9755" width="22.42578125" style="178" customWidth="1"/>
    <col min="9756" max="9756" width="26" style="178" bestFit="1" customWidth="1"/>
    <col min="9757" max="9757" width="11.7109375" style="178" bestFit="1" customWidth="1"/>
    <col min="9758" max="9758" width="3.28515625" style="178" bestFit="1" customWidth="1"/>
    <col min="9759" max="9759" width="4.7109375" style="178" bestFit="1" customWidth="1"/>
    <col min="9760" max="9760" width="16.140625" style="178" bestFit="1" customWidth="1"/>
    <col min="9761" max="9761" width="3.28515625" style="178" bestFit="1" customWidth="1"/>
    <col min="9762" max="9762" width="5.85546875" style="178" bestFit="1" customWidth="1"/>
    <col min="9763" max="9764" width="11.42578125" style="178"/>
    <col min="9765" max="9765" width="19" style="178" customWidth="1"/>
    <col min="9766" max="9978" width="11.42578125" style="178"/>
    <col min="9979" max="9980" width="2.7109375" style="178" customWidth="1"/>
    <col min="9981" max="9981" width="4.85546875" style="178" bestFit="1" customWidth="1"/>
    <col min="9982" max="9983" width="2.7109375" style="178" customWidth="1"/>
    <col min="9984" max="9984" width="4.85546875" style="178" bestFit="1" customWidth="1"/>
    <col min="9985" max="9985" width="7.42578125" style="178" bestFit="1" customWidth="1"/>
    <col min="9986" max="9986" width="7.85546875" style="178" bestFit="1" customWidth="1"/>
    <col min="9987" max="9987" width="5.28515625" style="178" bestFit="1" customWidth="1"/>
    <col min="9988" max="9988" width="6.5703125" style="178" bestFit="1" customWidth="1"/>
    <col min="9989" max="9989" width="4.85546875" style="178" bestFit="1" customWidth="1"/>
    <col min="9990" max="9990" width="6.5703125" style="178" bestFit="1" customWidth="1"/>
    <col min="9991" max="9991" width="9.28515625" style="178" customWidth="1"/>
    <col min="9992" max="9992" width="7.28515625" style="178" customWidth="1"/>
    <col min="9993" max="9993" width="9.42578125" style="178" bestFit="1" customWidth="1"/>
    <col min="9994" max="9994" width="7.140625" style="178" bestFit="1" customWidth="1"/>
    <col min="9995" max="9995" width="11.28515625" style="178" bestFit="1" customWidth="1"/>
    <col min="9996" max="9996" width="7.7109375" style="178" bestFit="1" customWidth="1"/>
    <col min="9997" max="9997" width="10" style="178" bestFit="1" customWidth="1"/>
    <col min="9998" max="9998" width="8.85546875" style="178" customWidth="1"/>
    <col min="9999" max="9999" width="8.5703125" style="178" customWidth="1"/>
    <col min="10000" max="10000" width="6.7109375" style="178" customWidth="1"/>
    <col min="10001" max="10001" width="9.140625" style="178" bestFit="1" customWidth="1"/>
    <col min="10002" max="10002" width="8.5703125" style="178" bestFit="1" customWidth="1"/>
    <col min="10003" max="10003" width="8.140625" style="178" bestFit="1" customWidth="1"/>
    <col min="10004" max="10004" width="8.42578125" style="178" customWidth="1"/>
    <col min="10005" max="10005" width="7.28515625" style="178" customWidth="1"/>
    <col min="10006" max="10006" width="6" style="178" customWidth="1"/>
    <col min="10007" max="10007" width="6.85546875" style="178" customWidth="1"/>
    <col min="10008" max="10008" width="7.5703125" style="178" bestFit="1" customWidth="1"/>
    <col min="10009" max="10009" width="7.42578125" style="178" customWidth="1"/>
    <col min="10010" max="10010" width="8" style="178" customWidth="1"/>
    <col min="10011" max="10011" width="22.42578125" style="178" customWidth="1"/>
    <col min="10012" max="10012" width="26" style="178" bestFit="1" customWidth="1"/>
    <col min="10013" max="10013" width="11.7109375" style="178" bestFit="1" customWidth="1"/>
    <col min="10014" max="10014" width="3.28515625" style="178" bestFit="1" customWidth="1"/>
    <col min="10015" max="10015" width="4.7109375" style="178" bestFit="1" customWidth="1"/>
    <col min="10016" max="10016" width="16.140625" style="178" bestFit="1" customWidth="1"/>
    <col min="10017" max="10017" width="3.28515625" style="178" bestFit="1" customWidth="1"/>
    <col min="10018" max="10018" width="5.85546875" style="178" bestFit="1" customWidth="1"/>
    <col min="10019" max="10020" width="11.42578125" style="178"/>
    <col min="10021" max="10021" width="19" style="178" customWidth="1"/>
    <col min="10022" max="10234" width="11.42578125" style="178"/>
    <col min="10235" max="10236" width="2.7109375" style="178" customWidth="1"/>
    <col min="10237" max="10237" width="4.85546875" style="178" bestFit="1" customWidth="1"/>
    <col min="10238" max="10239" width="2.7109375" style="178" customWidth="1"/>
    <col min="10240" max="10240" width="4.85546875" style="178" bestFit="1" customWidth="1"/>
    <col min="10241" max="10241" width="7.42578125" style="178" bestFit="1" customWidth="1"/>
    <col min="10242" max="10242" width="7.85546875" style="178" bestFit="1" customWidth="1"/>
    <col min="10243" max="10243" width="5.28515625" style="178" bestFit="1" customWidth="1"/>
    <col min="10244" max="10244" width="6.5703125" style="178" bestFit="1" customWidth="1"/>
    <col min="10245" max="10245" width="4.85546875" style="178" bestFit="1" customWidth="1"/>
    <col min="10246" max="10246" width="6.5703125" style="178" bestFit="1" customWidth="1"/>
    <col min="10247" max="10247" width="9.28515625" style="178" customWidth="1"/>
    <col min="10248" max="10248" width="7.28515625" style="178" customWidth="1"/>
    <col min="10249" max="10249" width="9.42578125" style="178" bestFit="1" customWidth="1"/>
    <col min="10250" max="10250" width="7.140625" style="178" bestFit="1" customWidth="1"/>
    <col min="10251" max="10251" width="11.28515625" style="178" bestFit="1" customWidth="1"/>
    <col min="10252" max="10252" width="7.7109375" style="178" bestFit="1" customWidth="1"/>
    <col min="10253" max="10253" width="10" style="178" bestFit="1" customWidth="1"/>
    <col min="10254" max="10254" width="8.85546875" style="178" customWidth="1"/>
    <col min="10255" max="10255" width="8.5703125" style="178" customWidth="1"/>
    <col min="10256" max="10256" width="6.7109375" style="178" customWidth="1"/>
    <col min="10257" max="10257" width="9.140625" style="178" bestFit="1" customWidth="1"/>
    <col min="10258" max="10258" width="8.5703125" style="178" bestFit="1" customWidth="1"/>
    <col min="10259" max="10259" width="8.140625" style="178" bestFit="1" customWidth="1"/>
    <col min="10260" max="10260" width="8.42578125" style="178" customWidth="1"/>
    <col min="10261" max="10261" width="7.28515625" style="178" customWidth="1"/>
    <col min="10262" max="10262" width="6" style="178" customWidth="1"/>
    <col min="10263" max="10263" width="6.85546875" style="178" customWidth="1"/>
    <col min="10264" max="10264" width="7.5703125" style="178" bestFit="1" customWidth="1"/>
    <col min="10265" max="10265" width="7.42578125" style="178" customWidth="1"/>
    <col min="10266" max="10266" width="8" style="178" customWidth="1"/>
    <col min="10267" max="10267" width="22.42578125" style="178" customWidth="1"/>
    <col min="10268" max="10268" width="26" style="178" bestFit="1" customWidth="1"/>
    <col min="10269" max="10269" width="11.7109375" style="178" bestFit="1" customWidth="1"/>
    <col min="10270" max="10270" width="3.28515625" style="178" bestFit="1" customWidth="1"/>
    <col min="10271" max="10271" width="4.7109375" style="178" bestFit="1" customWidth="1"/>
    <col min="10272" max="10272" width="16.140625" style="178" bestFit="1" customWidth="1"/>
    <col min="10273" max="10273" width="3.28515625" style="178" bestFit="1" customWidth="1"/>
    <col min="10274" max="10274" width="5.85546875" style="178" bestFit="1" customWidth="1"/>
    <col min="10275" max="10276" width="11.42578125" style="178"/>
    <col min="10277" max="10277" width="19" style="178" customWidth="1"/>
    <col min="10278" max="10490" width="11.42578125" style="178"/>
    <col min="10491" max="10492" width="2.7109375" style="178" customWidth="1"/>
    <col min="10493" max="10493" width="4.85546875" style="178" bestFit="1" customWidth="1"/>
    <col min="10494" max="10495" width="2.7109375" style="178" customWidth="1"/>
    <col min="10496" max="10496" width="4.85546875" style="178" bestFit="1" customWidth="1"/>
    <col min="10497" max="10497" width="7.42578125" style="178" bestFit="1" customWidth="1"/>
    <col min="10498" max="10498" width="7.85546875" style="178" bestFit="1" customWidth="1"/>
    <col min="10499" max="10499" width="5.28515625" style="178" bestFit="1" customWidth="1"/>
    <col min="10500" max="10500" width="6.5703125" style="178" bestFit="1" customWidth="1"/>
    <col min="10501" max="10501" width="4.85546875" style="178" bestFit="1" customWidth="1"/>
    <col min="10502" max="10502" width="6.5703125" style="178" bestFit="1" customWidth="1"/>
    <col min="10503" max="10503" width="9.28515625" style="178" customWidth="1"/>
    <col min="10504" max="10504" width="7.28515625" style="178" customWidth="1"/>
    <col min="10505" max="10505" width="9.42578125" style="178" bestFit="1" customWidth="1"/>
    <col min="10506" max="10506" width="7.140625" style="178" bestFit="1" customWidth="1"/>
    <col min="10507" max="10507" width="11.28515625" style="178" bestFit="1" customWidth="1"/>
    <col min="10508" max="10508" width="7.7109375" style="178" bestFit="1" customWidth="1"/>
    <col min="10509" max="10509" width="10" style="178" bestFit="1" customWidth="1"/>
    <col min="10510" max="10510" width="8.85546875" style="178" customWidth="1"/>
    <col min="10511" max="10511" width="8.5703125" style="178" customWidth="1"/>
    <col min="10512" max="10512" width="6.7109375" style="178" customWidth="1"/>
    <col min="10513" max="10513" width="9.140625" style="178" bestFit="1" customWidth="1"/>
    <col min="10514" max="10514" width="8.5703125" style="178" bestFit="1" customWidth="1"/>
    <col min="10515" max="10515" width="8.140625" style="178" bestFit="1" customWidth="1"/>
    <col min="10516" max="10516" width="8.42578125" style="178" customWidth="1"/>
    <col min="10517" max="10517" width="7.28515625" style="178" customWidth="1"/>
    <col min="10518" max="10518" width="6" style="178" customWidth="1"/>
    <col min="10519" max="10519" width="6.85546875" style="178" customWidth="1"/>
    <col min="10520" max="10520" width="7.5703125" style="178" bestFit="1" customWidth="1"/>
    <col min="10521" max="10521" width="7.42578125" style="178" customWidth="1"/>
    <col min="10522" max="10522" width="8" style="178" customWidth="1"/>
    <col min="10523" max="10523" width="22.42578125" style="178" customWidth="1"/>
    <col min="10524" max="10524" width="26" style="178" bestFit="1" customWidth="1"/>
    <col min="10525" max="10525" width="11.7109375" style="178" bestFit="1" customWidth="1"/>
    <col min="10526" max="10526" width="3.28515625" style="178" bestFit="1" customWidth="1"/>
    <col min="10527" max="10527" width="4.7109375" style="178" bestFit="1" customWidth="1"/>
    <col min="10528" max="10528" width="16.140625" style="178" bestFit="1" customWidth="1"/>
    <col min="10529" max="10529" width="3.28515625" style="178" bestFit="1" customWidth="1"/>
    <col min="10530" max="10530" width="5.85546875" style="178" bestFit="1" customWidth="1"/>
    <col min="10531" max="10532" width="11.42578125" style="178"/>
    <col min="10533" max="10533" width="19" style="178" customWidth="1"/>
    <col min="10534" max="10746" width="11.42578125" style="178"/>
    <col min="10747" max="10748" width="2.7109375" style="178" customWidth="1"/>
    <col min="10749" max="10749" width="4.85546875" style="178" bestFit="1" customWidth="1"/>
    <col min="10750" max="10751" width="2.7109375" style="178" customWidth="1"/>
    <col min="10752" max="10752" width="4.85546875" style="178" bestFit="1" customWidth="1"/>
    <col min="10753" max="10753" width="7.42578125" style="178" bestFit="1" customWidth="1"/>
    <col min="10754" max="10754" width="7.85546875" style="178" bestFit="1" customWidth="1"/>
    <col min="10755" max="10755" width="5.28515625" style="178" bestFit="1" customWidth="1"/>
    <col min="10756" max="10756" width="6.5703125" style="178" bestFit="1" customWidth="1"/>
    <col min="10757" max="10757" width="4.85546875" style="178" bestFit="1" customWidth="1"/>
    <col min="10758" max="10758" width="6.5703125" style="178" bestFit="1" customWidth="1"/>
    <col min="10759" max="10759" width="9.28515625" style="178" customWidth="1"/>
    <col min="10760" max="10760" width="7.28515625" style="178" customWidth="1"/>
    <col min="10761" max="10761" width="9.42578125" style="178" bestFit="1" customWidth="1"/>
    <col min="10762" max="10762" width="7.140625" style="178" bestFit="1" customWidth="1"/>
    <col min="10763" max="10763" width="11.28515625" style="178" bestFit="1" customWidth="1"/>
    <col min="10764" max="10764" width="7.7109375" style="178" bestFit="1" customWidth="1"/>
    <col min="10765" max="10765" width="10" style="178" bestFit="1" customWidth="1"/>
    <col min="10766" max="10766" width="8.85546875" style="178" customWidth="1"/>
    <col min="10767" max="10767" width="8.5703125" style="178" customWidth="1"/>
    <col min="10768" max="10768" width="6.7109375" style="178" customWidth="1"/>
    <col min="10769" max="10769" width="9.140625" style="178" bestFit="1" customWidth="1"/>
    <col min="10770" max="10770" width="8.5703125" style="178" bestFit="1" customWidth="1"/>
    <col min="10771" max="10771" width="8.140625" style="178" bestFit="1" customWidth="1"/>
    <col min="10772" max="10772" width="8.42578125" style="178" customWidth="1"/>
    <col min="10773" max="10773" width="7.28515625" style="178" customWidth="1"/>
    <col min="10774" max="10774" width="6" style="178" customWidth="1"/>
    <col min="10775" max="10775" width="6.85546875" style="178" customWidth="1"/>
    <col min="10776" max="10776" width="7.5703125" style="178" bestFit="1" customWidth="1"/>
    <col min="10777" max="10777" width="7.42578125" style="178" customWidth="1"/>
    <col min="10778" max="10778" width="8" style="178" customWidth="1"/>
    <col min="10779" max="10779" width="22.42578125" style="178" customWidth="1"/>
    <col min="10780" max="10780" width="26" style="178" bestFit="1" customWidth="1"/>
    <col min="10781" max="10781" width="11.7109375" style="178" bestFit="1" customWidth="1"/>
    <col min="10782" max="10782" width="3.28515625" style="178" bestFit="1" customWidth="1"/>
    <col min="10783" max="10783" width="4.7109375" style="178" bestFit="1" customWidth="1"/>
    <col min="10784" max="10784" width="16.140625" style="178" bestFit="1" customWidth="1"/>
    <col min="10785" max="10785" width="3.28515625" style="178" bestFit="1" customWidth="1"/>
    <col min="10786" max="10786" width="5.85546875" style="178" bestFit="1" customWidth="1"/>
    <col min="10787" max="10788" width="11.42578125" style="178"/>
    <col min="10789" max="10789" width="19" style="178" customWidth="1"/>
    <col min="10790" max="11002" width="11.42578125" style="178"/>
    <col min="11003" max="11004" width="2.7109375" style="178" customWidth="1"/>
    <col min="11005" max="11005" width="4.85546875" style="178" bestFit="1" customWidth="1"/>
    <col min="11006" max="11007" width="2.7109375" style="178" customWidth="1"/>
    <col min="11008" max="11008" width="4.85546875" style="178" bestFit="1" customWidth="1"/>
    <col min="11009" max="11009" width="7.42578125" style="178" bestFit="1" customWidth="1"/>
    <col min="11010" max="11010" width="7.85546875" style="178" bestFit="1" customWidth="1"/>
    <col min="11011" max="11011" width="5.28515625" style="178" bestFit="1" customWidth="1"/>
    <col min="11012" max="11012" width="6.5703125" style="178" bestFit="1" customWidth="1"/>
    <col min="11013" max="11013" width="4.85546875" style="178" bestFit="1" customWidth="1"/>
    <col min="11014" max="11014" width="6.5703125" style="178" bestFit="1" customWidth="1"/>
    <col min="11015" max="11015" width="9.28515625" style="178" customWidth="1"/>
    <col min="11016" max="11016" width="7.28515625" style="178" customWidth="1"/>
    <col min="11017" max="11017" width="9.42578125" style="178" bestFit="1" customWidth="1"/>
    <col min="11018" max="11018" width="7.140625" style="178" bestFit="1" customWidth="1"/>
    <col min="11019" max="11019" width="11.28515625" style="178" bestFit="1" customWidth="1"/>
    <col min="11020" max="11020" width="7.7109375" style="178" bestFit="1" customWidth="1"/>
    <col min="11021" max="11021" width="10" style="178" bestFit="1" customWidth="1"/>
    <col min="11022" max="11022" width="8.85546875" style="178" customWidth="1"/>
    <col min="11023" max="11023" width="8.5703125" style="178" customWidth="1"/>
    <col min="11024" max="11024" width="6.7109375" style="178" customWidth="1"/>
    <col min="11025" max="11025" width="9.140625" style="178" bestFit="1" customWidth="1"/>
    <col min="11026" max="11026" width="8.5703125" style="178" bestFit="1" customWidth="1"/>
    <col min="11027" max="11027" width="8.140625" style="178" bestFit="1" customWidth="1"/>
    <col min="11028" max="11028" width="8.42578125" style="178" customWidth="1"/>
    <col min="11029" max="11029" width="7.28515625" style="178" customWidth="1"/>
    <col min="11030" max="11030" width="6" style="178" customWidth="1"/>
    <col min="11031" max="11031" width="6.85546875" style="178" customWidth="1"/>
    <col min="11032" max="11032" width="7.5703125" style="178" bestFit="1" customWidth="1"/>
    <col min="11033" max="11033" width="7.42578125" style="178" customWidth="1"/>
    <col min="11034" max="11034" width="8" style="178" customWidth="1"/>
    <col min="11035" max="11035" width="22.42578125" style="178" customWidth="1"/>
    <col min="11036" max="11036" width="26" style="178" bestFit="1" customWidth="1"/>
    <col min="11037" max="11037" width="11.7109375" style="178" bestFit="1" customWidth="1"/>
    <col min="11038" max="11038" width="3.28515625" style="178" bestFit="1" customWidth="1"/>
    <col min="11039" max="11039" width="4.7109375" style="178" bestFit="1" customWidth="1"/>
    <col min="11040" max="11040" width="16.140625" style="178" bestFit="1" customWidth="1"/>
    <col min="11041" max="11041" width="3.28515625" style="178" bestFit="1" customWidth="1"/>
    <col min="11042" max="11042" width="5.85546875" style="178" bestFit="1" customWidth="1"/>
    <col min="11043" max="11044" width="11.42578125" style="178"/>
    <col min="11045" max="11045" width="19" style="178" customWidth="1"/>
    <col min="11046" max="11258" width="11.42578125" style="178"/>
    <col min="11259" max="11260" width="2.7109375" style="178" customWidth="1"/>
    <col min="11261" max="11261" width="4.85546875" style="178" bestFit="1" customWidth="1"/>
    <col min="11262" max="11263" width="2.7109375" style="178" customWidth="1"/>
    <col min="11264" max="11264" width="4.85546875" style="178" bestFit="1" customWidth="1"/>
    <col min="11265" max="11265" width="7.42578125" style="178" bestFit="1" customWidth="1"/>
    <col min="11266" max="11266" width="7.85546875" style="178" bestFit="1" customWidth="1"/>
    <col min="11267" max="11267" width="5.28515625" style="178" bestFit="1" customWidth="1"/>
    <col min="11268" max="11268" width="6.5703125" style="178" bestFit="1" customWidth="1"/>
    <col min="11269" max="11269" width="4.85546875" style="178" bestFit="1" customWidth="1"/>
    <col min="11270" max="11270" width="6.5703125" style="178" bestFit="1" customWidth="1"/>
    <col min="11271" max="11271" width="9.28515625" style="178" customWidth="1"/>
    <col min="11272" max="11272" width="7.28515625" style="178" customWidth="1"/>
    <col min="11273" max="11273" width="9.42578125" style="178" bestFit="1" customWidth="1"/>
    <col min="11274" max="11274" width="7.140625" style="178" bestFit="1" customWidth="1"/>
    <col min="11275" max="11275" width="11.28515625" style="178" bestFit="1" customWidth="1"/>
    <col min="11276" max="11276" width="7.7109375" style="178" bestFit="1" customWidth="1"/>
    <col min="11277" max="11277" width="10" style="178" bestFit="1" customWidth="1"/>
    <col min="11278" max="11278" width="8.85546875" style="178" customWidth="1"/>
    <col min="11279" max="11279" width="8.5703125" style="178" customWidth="1"/>
    <col min="11280" max="11280" width="6.7109375" style="178" customWidth="1"/>
    <col min="11281" max="11281" width="9.140625" style="178" bestFit="1" customWidth="1"/>
    <col min="11282" max="11282" width="8.5703125" style="178" bestFit="1" customWidth="1"/>
    <col min="11283" max="11283" width="8.140625" style="178" bestFit="1" customWidth="1"/>
    <col min="11284" max="11284" width="8.42578125" style="178" customWidth="1"/>
    <col min="11285" max="11285" width="7.28515625" style="178" customWidth="1"/>
    <col min="11286" max="11286" width="6" style="178" customWidth="1"/>
    <col min="11287" max="11287" width="6.85546875" style="178" customWidth="1"/>
    <col min="11288" max="11288" width="7.5703125" style="178" bestFit="1" customWidth="1"/>
    <col min="11289" max="11289" width="7.42578125" style="178" customWidth="1"/>
    <col min="11290" max="11290" width="8" style="178" customWidth="1"/>
    <col min="11291" max="11291" width="22.42578125" style="178" customWidth="1"/>
    <col min="11292" max="11292" width="26" style="178" bestFit="1" customWidth="1"/>
    <col min="11293" max="11293" width="11.7109375" style="178" bestFit="1" customWidth="1"/>
    <col min="11294" max="11294" width="3.28515625" style="178" bestFit="1" customWidth="1"/>
    <col min="11295" max="11295" width="4.7109375" style="178" bestFit="1" customWidth="1"/>
    <col min="11296" max="11296" width="16.140625" style="178" bestFit="1" customWidth="1"/>
    <col min="11297" max="11297" width="3.28515625" style="178" bestFit="1" customWidth="1"/>
    <col min="11298" max="11298" width="5.85546875" style="178" bestFit="1" customWidth="1"/>
    <col min="11299" max="11300" width="11.42578125" style="178"/>
    <col min="11301" max="11301" width="19" style="178" customWidth="1"/>
    <col min="11302" max="11514" width="11.42578125" style="178"/>
    <col min="11515" max="11516" width="2.7109375" style="178" customWidth="1"/>
    <col min="11517" max="11517" width="4.85546875" style="178" bestFit="1" customWidth="1"/>
    <col min="11518" max="11519" width="2.7109375" style="178" customWidth="1"/>
    <col min="11520" max="11520" width="4.85546875" style="178" bestFit="1" customWidth="1"/>
    <col min="11521" max="11521" width="7.42578125" style="178" bestFit="1" customWidth="1"/>
    <col min="11522" max="11522" width="7.85546875" style="178" bestFit="1" customWidth="1"/>
    <col min="11523" max="11523" width="5.28515625" style="178" bestFit="1" customWidth="1"/>
    <col min="11524" max="11524" width="6.5703125" style="178" bestFit="1" customWidth="1"/>
    <col min="11525" max="11525" width="4.85546875" style="178" bestFit="1" customWidth="1"/>
    <col min="11526" max="11526" width="6.5703125" style="178" bestFit="1" customWidth="1"/>
    <col min="11527" max="11527" width="9.28515625" style="178" customWidth="1"/>
    <col min="11528" max="11528" width="7.28515625" style="178" customWidth="1"/>
    <col min="11529" max="11529" width="9.42578125" style="178" bestFit="1" customWidth="1"/>
    <col min="11530" max="11530" width="7.140625" style="178" bestFit="1" customWidth="1"/>
    <col min="11531" max="11531" width="11.28515625" style="178" bestFit="1" customWidth="1"/>
    <col min="11532" max="11532" width="7.7109375" style="178" bestFit="1" customWidth="1"/>
    <col min="11533" max="11533" width="10" style="178" bestFit="1" customWidth="1"/>
    <col min="11534" max="11534" width="8.85546875" style="178" customWidth="1"/>
    <col min="11535" max="11535" width="8.5703125" style="178" customWidth="1"/>
    <col min="11536" max="11536" width="6.7109375" style="178" customWidth="1"/>
    <col min="11537" max="11537" width="9.140625" style="178" bestFit="1" customWidth="1"/>
    <col min="11538" max="11538" width="8.5703125" style="178" bestFit="1" customWidth="1"/>
    <col min="11539" max="11539" width="8.140625" style="178" bestFit="1" customWidth="1"/>
    <col min="11540" max="11540" width="8.42578125" style="178" customWidth="1"/>
    <col min="11541" max="11541" width="7.28515625" style="178" customWidth="1"/>
    <col min="11542" max="11542" width="6" style="178" customWidth="1"/>
    <col min="11543" max="11543" width="6.85546875" style="178" customWidth="1"/>
    <col min="11544" max="11544" width="7.5703125" style="178" bestFit="1" customWidth="1"/>
    <col min="11545" max="11545" width="7.42578125" style="178" customWidth="1"/>
    <col min="11546" max="11546" width="8" style="178" customWidth="1"/>
    <col min="11547" max="11547" width="22.42578125" style="178" customWidth="1"/>
    <col min="11548" max="11548" width="26" style="178" bestFit="1" customWidth="1"/>
    <col min="11549" max="11549" width="11.7109375" style="178" bestFit="1" customWidth="1"/>
    <col min="11550" max="11550" width="3.28515625" style="178" bestFit="1" customWidth="1"/>
    <col min="11551" max="11551" width="4.7109375" style="178" bestFit="1" customWidth="1"/>
    <col min="11552" max="11552" width="16.140625" style="178" bestFit="1" customWidth="1"/>
    <col min="11553" max="11553" width="3.28515625" style="178" bestFit="1" customWidth="1"/>
    <col min="11554" max="11554" width="5.85546875" style="178" bestFit="1" customWidth="1"/>
    <col min="11555" max="11556" width="11.42578125" style="178"/>
    <col min="11557" max="11557" width="19" style="178" customWidth="1"/>
    <col min="11558" max="11770" width="11.42578125" style="178"/>
    <col min="11771" max="11772" width="2.7109375" style="178" customWidth="1"/>
    <col min="11773" max="11773" width="4.85546875" style="178" bestFit="1" customWidth="1"/>
    <col min="11774" max="11775" width="2.7109375" style="178" customWidth="1"/>
    <col min="11776" max="11776" width="4.85546875" style="178" bestFit="1" customWidth="1"/>
    <col min="11777" max="11777" width="7.42578125" style="178" bestFit="1" customWidth="1"/>
    <col min="11778" max="11778" width="7.85546875" style="178" bestFit="1" customWidth="1"/>
    <col min="11779" max="11779" width="5.28515625" style="178" bestFit="1" customWidth="1"/>
    <col min="11780" max="11780" width="6.5703125" style="178" bestFit="1" customWidth="1"/>
    <col min="11781" max="11781" width="4.85546875" style="178" bestFit="1" customWidth="1"/>
    <col min="11782" max="11782" width="6.5703125" style="178" bestFit="1" customWidth="1"/>
    <col min="11783" max="11783" width="9.28515625" style="178" customWidth="1"/>
    <col min="11784" max="11784" width="7.28515625" style="178" customWidth="1"/>
    <col min="11785" max="11785" width="9.42578125" style="178" bestFit="1" customWidth="1"/>
    <col min="11786" max="11786" width="7.140625" style="178" bestFit="1" customWidth="1"/>
    <col min="11787" max="11787" width="11.28515625" style="178" bestFit="1" customWidth="1"/>
    <col min="11788" max="11788" width="7.7109375" style="178" bestFit="1" customWidth="1"/>
    <col min="11789" max="11789" width="10" style="178" bestFit="1" customWidth="1"/>
    <col min="11790" max="11790" width="8.85546875" style="178" customWidth="1"/>
    <col min="11791" max="11791" width="8.5703125" style="178" customWidth="1"/>
    <col min="11792" max="11792" width="6.7109375" style="178" customWidth="1"/>
    <col min="11793" max="11793" width="9.140625" style="178" bestFit="1" customWidth="1"/>
    <col min="11794" max="11794" width="8.5703125" style="178" bestFit="1" customWidth="1"/>
    <col min="11795" max="11795" width="8.140625" style="178" bestFit="1" customWidth="1"/>
    <col min="11796" max="11796" width="8.42578125" style="178" customWidth="1"/>
    <col min="11797" max="11797" width="7.28515625" style="178" customWidth="1"/>
    <col min="11798" max="11798" width="6" style="178" customWidth="1"/>
    <col min="11799" max="11799" width="6.85546875" style="178" customWidth="1"/>
    <col min="11800" max="11800" width="7.5703125" style="178" bestFit="1" customWidth="1"/>
    <col min="11801" max="11801" width="7.42578125" style="178" customWidth="1"/>
    <col min="11802" max="11802" width="8" style="178" customWidth="1"/>
    <col min="11803" max="11803" width="22.42578125" style="178" customWidth="1"/>
    <col min="11804" max="11804" width="26" style="178" bestFit="1" customWidth="1"/>
    <col min="11805" max="11805" width="11.7109375" style="178" bestFit="1" customWidth="1"/>
    <col min="11806" max="11806" width="3.28515625" style="178" bestFit="1" customWidth="1"/>
    <col min="11807" max="11807" width="4.7109375" style="178" bestFit="1" customWidth="1"/>
    <col min="11808" max="11808" width="16.140625" style="178" bestFit="1" customWidth="1"/>
    <col min="11809" max="11809" width="3.28515625" style="178" bestFit="1" customWidth="1"/>
    <col min="11810" max="11810" width="5.85546875" style="178" bestFit="1" customWidth="1"/>
    <col min="11811" max="11812" width="11.42578125" style="178"/>
    <col min="11813" max="11813" width="19" style="178" customWidth="1"/>
    <col min="11814" max="12026" width="11.42578125" style="178"/>
    <col min="12027" max="12028" width="2.7109375" style="178" customWidth="1"/>
    <col min="12029" max="12029" width="4.85546875" style="178" bestFit="1" customWidth="1"/>
    <col min="12030" max="12031" width="2.7109375" style="178" customWidth="1"/>
    <col min="12032" max="12032" width="4.85546875" style="178" bestFit="1" customWidth="1"/>
    <col min="12033" max="12033" width="7.42578125" style="178" bestFit="1" customWidth="1"/>
    <col min="12034" max="12034" width="7.85546875" style="178" bestFit="1" customWidth="1"/>
    <col min="12035" max="12035" width="5.28515625" style="178" bestFit="1" customWidth="1"/>
    <col min="12036" max="12036" width="6.5703125" style="178" bestFit="1" customWidth="1"/>
    <col min="12037" max="12037" width="4.85546875" style="178" bestFit="1" customWidth="1"/>
    <col min="12038" max="12038" width="6.5703125" style="178" bestFit="1" customWidth="1"/>
    <col min="12039" max="12039" width="9.28515625" style="178" customWidth="1"/>
    <col min="12040" max="12040" width="7.28515625" style="178" customWidth="1"/>
    <col min="12041" max="12041" width="9.42578125" style="178" bestFit="1" customWidth="1"/>
    <col min="12042" max="12042" width="7.140625" style="178" bestFit="1" customWidth="1"/>
    <col min="12043" max="12043" width="11.28515625" style="178" bestFit="1" customWidth="1"/>
    <col min="12044" max="12044" width="7.7109375" style="178" bestFit="1" customWidth="1"/>
    <col min="12045" max="12045" width="10" style="178" bestFit="1" customWidth="1"/>
    <col min="12046" max="12046" width="8.85546875" style="178" customWidth="1"/>
    <col min="12047" max="12047" width="8.5703125" style="178" customWidth="1"/>
    <col min="12048" max="12048" width="6.7109375" style="178" customWidth="1"/>
    <col min="12049" max="12049" width="9.140625" style="178" bestFit="1" customWidth="1"/>
    <col min="12050" max="12050" width="8.5703125" style="178" bestFit="1" customWidth="1"/>
    <col min="12051" max="12051" width="8.140625" style="178" bestFit="1" customWidth="1"/>
    <col min="12052" max="12052" width="8.42578125" style="178" customWidth="1"/>
    <col min="12053" max="12053" width="7.28515625" style="178" customWidth="1"/>
    <col min="12054" max="12054" width="6" style="178" customWidth="1"/>
    <col min="12055" max="12055" width="6.85546875" style="178" customWidth="1"/>
    <col min="12056" max="12056" width="7.5703125" style="178" bestFit="1" customWidth="1"/>
    <col min="12057" max="12057" width="7.42578125" style="178" customWidth="1"/>
    <col min="12058" max="12058" width="8" style="178" customWidth="1"/>
    <col min="12059" max="12059" width="22.42578125" style="178" customWidth="1"/>
    <col min="12060" max="12060" width="26" style="178" bestFit="1" customWidth="1"/>
    <col min="12061" max="12061" width="11.7109375" style="178" bestFit="1" customWidth="1"/>
    <col min="12062" max="12062" width="3.28515625" style="178" bestFit="1" customWidth="1"/>
    <col min="12063" max="12063" width="4.7109375" style="178" bestFit="1" customWidth="1"/>
    <col min="12064" max="12064" width="16.140625" style="178" bestFit="1" customWidth="1"/>
    <col min="12065" max="12065" width="3.28515625" style="178" bestFit="1" customWidth="1"/>
    <col min="12066" max="12066" width="5.85546875" style="178" bestFit="1" customWidth="1"/>
    <col min="12067" max="12068" width="11.42578125" style="178"/>
    <col min="12069" max="12069" width="19" style="178" customWidth="1"/>
    <col min="12070" max="12282" width="11.42578125" style="178"/>
    <col min="12283" max="12284" width="2.7109375" style="178" customWidth="1"/>
    <col min="12285" max="12285" width="4.85546875" style="178" bestFit="1" customWidth="1"/>
    <col min="12286" max="12287" width="2.7109375" style="178" customWidth="1"/>
    <col min="12288" max="12288" width="4.85546875" style="178" bestFit="1" customWidth="1"/>
    <col min="12289" max="12289" width="7.42578125" style="178" bestFit="1" customWidth="1"/>
    <col min="12290" max="12290" width="7.85546875" style="178" bestFit="1" customWidth="1"/>
    <col min="12291" max="12291" width="5.28515625" style="178" bestFit="1" customWidth="1"/>
    <col min="12292" max="12292" width="6.5703125" style="178" bestFit="1" customWidth="1"/>
    <col min="12293" max="12293" width="4.85546875" style="178" bestFit="1" customWidth="1"/>
    <col min="12294" max="12294" width="6.5703125" style="178" bestFit="1" customWidth="1"/>
    <col min="12295" max="12295" width="9.28515625" style="178" customWidth="1"/>
    <col min="12296" max="12296" width="7.28515625" style="178" customWidth="1"/>
    <col min="12297" max="12297" width="9.42578125" style="178" bestFit="1" customWidth="1"/>
    <col min="12298" max="12298" width="7.140625" style="178" bestFit="1" customWidth="1"/>
    <col min="12299" max="12299" width="11.28515625" style="178" bestFit="1" customWidth="1"/>
    <col min="12300" max="12300" width="7.7109375" style="178" bestFit="1" customWidth="1"/>
    <col min="12301" max="12301" width="10" style="178" bestFit="1" customWidth="1"/>
    <col min="12302" max="12302" width="8.85546875" style="178" customWidth="1"/>
    <col min="12303" max="12303" width="8.5703125" style="178" customWidth="1"/>
    <col min="12304" max="12304" width="6.7109375" style="178" customWidth="1"/>
    <col min="12305" max="12305" width="9.140625" style="178" bestFit="1" customWidth="1"/>
    <col min="12306" max="12306" width="8.5703125" style="178" bestFit="1" customWidth="1"/>
    <col min="12307" max="12307" width="8.140625" style="178" bestFit="1" customWidth="1"/>
    <col min="12308" max="12308" width="8.42578125" style="178" customWidth="1"/>
    <col min="12309" max="12309" width="7.28515625" style="178" customWidth="1"/>
    <col min="12310" max="12310" width="6" style="178" customWidth="1"/>
    <col min="12311" max="12311" width="6.85546875" style="178" customWidth="1"/>
    <col min="12312" max="12312" width="7.5703125" style="178" bestFit="1" customWidth="1"/>
    <col min="12313" max="12313" width="7.42578125" style="178" customWidth="1"/>
    <col min="12314" max="12314" width="8" style="178" customWidth="1"/>
    <col min="12315" max="12315" width="22.42578125" style="178" customWidth="1"/>
    <col min="12316" max="12316" width="26" style="178" bestFit="1" customWidth="1"/>
    <col min="12317" max="12317" width="11.7109375" style="178" bestFit="1" customWidth="1"/>
    <col min="12318" max="12318" width="3.28515625" style="178" bestFit="1" customWidth="1"/>
    <col min="12319" max="12319" width="4.7109375" style="178" bestFit="1" customWidth="1"/>
    <col min="12320" max="12320" width="16.140625" style="178" bestFit="1" customWidth="1"/>
    <col min="12321" max="12321" width="3.28515625" style="178" bestFit="1" customWidth="1"/>
    <col min="12322" max="12322" width="5.85546875" style="178" bestFit="1" customWidth="1"/>
    <col min="12323" max="12324" width="11.42578125" style="178"/>
    <col min="12325" max="12325" width="19" style="178" customWidth="1"/>
    <col min="12326" max="12538" width="11.42578125" style="178"/>
    <col min="12539" max="12540" width="2.7109375" style="178" customWidth="1"/>
    <col min="12541" max="12541" width="4.85546875" style="178" bestFit="1" customWidth="1"/>
    <col min="12542" max="12543" width="2.7109375" style="178" customWidth="1"/>
    <col min="12544" max="12544" width="4.85546875" style="178" bestFit="1" customWidth="1"/>
    <col min="12545" max="12545" width="7.42578125" style="178" bestFit="1" customWidth="1"/>
    <col min="12546" max="12546" width="7.85546875" style="178" bestFit="1" customWidth="1"/>
    <col min="12547" max="12547" width="5.28515625" style="178" bestFit="1" customWidth="1"/>
    <col min="12548" max="12548" width="6.5703125" style="178" bestFit="1" customWidth="1"/>
    <col min="12549" max="12549" width="4.85546875" style="178" bestFit="1" customWidth="1"/>
    <col min="12550" max="12550" width="6.5703125" style="178" bestFit="1" customWidth="1"/>
    <col min="12551" max="12551" width="9.28515625" style="178" customWidth="1"/>
    <col min="12552" max="12552" width="7.28515625" style="178" customWidth="1"/>
    <col min="12553" max="12553" width="9.42578125" style="178" bestFit="1" customWidth="1"/>
    <col min="12554" max="12554" width="7.140625" style="178" bestFit="1" customWidth="1"/>
    <col min="12555" max="12555" width="11.28515625" style="178" bestFit="1" customWidth="1"/>
    <col min="12556" max="12556" width="7.7109375" style="178" bestFit="1" customWidth="1"/>
    <col min="12557" max="12557" width="10" style="178" bestFit="1" customWidth="1"/>
    <col min="12558" max="12558" width="8.85546875" style="178" customWidth="1"/>
    <col min="12559" max="12559" width="8.5703125" style="178" customWidth="1"/>
    <col min="12560" max="12560" width="6.7109375" style="178" customWidth="1"/>
    <col min="12561" max="12561" width="9.140625" style="178" bestFit="1" customWidth="1"/>
    <col min="12562" max="12562" width="8.5703125" style="178" bestFit="1" customWidth="1"/>
    <col min="12563" max="12563" width="8.140625" style="178" bestFit="1" customWidth="1"/>
    <col min="12564" max="12564" width="8.42578125" style="178" customWidth="1"/>
    <col min="12565" max="12565" width="7.28515625" style="178" customWidth="1"/>
    <col min="12566" max="12566" width="6" style="178" customWidth="1"/>
    <col min="12567" max="12567" width="6.85546875" style="178" customWidth="1"/>
    <col min="12568" max="12568" width="7.5703125" style="178" bestFit="1" customWidth="1"/>
    <col min="12569" max="12569" width="7.42578125" style="178" customWidth="1"/>
    <col min="12570" max="12570" width="8" style="178" customWidth="1"/>
    <col min="12571" max="12571" width="22.42578125" style="178" customWidth="1"/>
    <col min="12572" max="12572" width="26" style="178" bestFit="1" customWidth="1"/>
    <col min="12573" max="12573" width="11.7109375" style="178" bestFit="1" customWidth="1"/>
    <col min="12574" max="12574" width="3.28515625" style="178" bestFit="1" customWidth="1"/>
    <col min="12575" max="12575" width="4.7109375" style="178" bestFit="1" customWidth="1"/>
    <col min="12576" max="12576" width="16.140625" style="178" bestFit="1" customWidth="1"/>
    <col min="12577" max="12577" width="3.28515625" style="178" bestFit="1" customWidth="1"/>
    <col min="12578" max="12578" width="5.85546875" style="178" bestFit="1" customWidth="1"/>
    <col min="12579" max="12580" width="11.42578125" style="178"/>
    <col min="12581" max="12581" width="19" style="178" customWidth="1"/>
    <col min="12582" max="12794" width="11.42578125" style="178"/>
    <col min="12795" max="12796" width="2.7109375" style="178" customWidth="1"/>
    <col min="12797" max="12797" width="4.85546875" style="178" bestFit="1" customWidth="1"/>
    <col min="12798" max="12799" width="2.7109375" style="178" customWidth="1"/>
    <col min="12800" max="12800" width="4.85546875" style="178" bestFit="1" customWidth="1"/>
    <col min="12801" max="12801" width="7.42578125" style="178" bestFit="1" customWidth="1"/>
    <col min="12802" max="12802" width="7.85546875" style="178" bestFit="1" customWidth="1"/>
    <col min="12803" max="12803" width="5.28515625" style="178" bestFit="1" customWidth="1"/>
    <col min="12804" max="12804" width="6.5703125" style="178" bestFit="1" customWidth="1"/>
    <col min="12805" max="12805" width="4.85546875" style="178" bestFit="1" customWidth="1"/>
    <col min="12806" max="12806" width="6.5703125" style="178" bestFit="1" customWidth="1"/>
    <col min="12807" max="12807" width="9.28515625" style="178" customWidth="1"/>
    <col min="12808" max="12808" width="7.28515625" style="178" customWidth="1"/>
    <col min="12809" max="12809" width="9.42578125" style="178" bestFit="1" customWidth="1"/>
    <col min="12810" max="12810" width="7.140625" style="178" bestFit="1" customWidth="1"/>
    <col min="12811" max="12811" width="11.28515625" style="178" bestFit="1" customWidth="1"/>
    <col min="12812" max="12812" width="7.7109375" style="178" bestFit="1" customWidth="1"/>
    <col min="12813" max="12813" width="10" style="178" bestFit="1" customWidth="1"/>
    <col min="12814" max="12814" width="8.85546875" style="178" customWidth="1"/>
    <col min="12815" max="12815" width="8.5703125" style="178" customWidth="1"/>
    <col min="12816" max="12816" width="6.7109375" style="178" customWidth="1"/>
    <col min="12817" max="12817" width="9.140625" style="178" bestFit="1" customWidth="1"/>
    <col min="12818" max="12818" width="8.5703125" style="178" bestFit="1" customWidth="1"/>
    <col min="12819" max="12819" width="8.140625" style="178" bestFit="1" customWidth="1"/>
    <col min="12820" max="12820" width="8.42578125" style="178" customWidth="1"/>
    <col min="12821" max="12821" width="7.28515625" style="178" customWidth="1"/>
    <col min="12822" max="12822" width="6" style="178" customWidth="1"/>
    <col min="12823" max="12823" width="6.85546875" style="178" customWidth="1"/>
    <col min="12824" max="12824" width="7.5703125" style="178" bestFit="1" customWidth="1"/>
    <col min="12825" max="12825" width="7.42578125" style="178" customWidth="1"/>
    <col min="12826" max="12826" width="8" style="178" customWidth="1"/>
    <col min="12827" max="12827" width="22.42578125" style="178" customWidth="1"/>
    <col min="12828" max="12828" width="26" style="178" bestFit="1" customWidth="1"/>
    <col min="12829" max="12829" width="11.7109375" style="178" bestFit="1" customWidth="1"/>
    <col min="12830" max="12830" width="3.28515625" style="178" bestFit="1" customWidth="1"/>
    <col min="12831" max="12831" width="4.7109375" style="178" bestFit="1" customWidth="1"/>
    <col min="12832" max="12832" width="16.140625" style="178" bestFit="1" customWidth="1"/>
    <col min="12833" max="12833" width="3.28515625" style="178" bestFit="1" customWidth="1"/>
    <col min="12834" max="12834" width="5.85546875" style="178" bestFit="1" customWidth="1"/>
    <col min="12835" max="12836" width="11.42578125" style="178"/>
    <col min="12837" max="12837" width="19" style="178" customWidth="1"/>
    <col min="12838" max="13050" width="11.42578125" style="178"/>
    <col min="13051" max="13052" width="2.7109375" style="178" customWidth="1"/>
    <col min="13053" max="13053" width="4.85546875" style="178" bestFit="1" customWidth="1"/>
    <col min="13054" max="13055" width="2.7109375" style="178" customWidth="1"/>
    <col min="13056" max="13056" width="4.85546875" style="178" bestFit="1" customWidth="1"/>
    <col min="13057" max="13057" width="7.42578125" style="178" bestFit="1" customWidth="1"/>
    <col min="13058" max="13058" width="7.85546875" style="178" bestFit="1" customWidth="1"/>
    <col min="13059" max="13059" width="5.28515625" style="178" bestFit="1" customWidth="1"/>
    <col min="13060" max="13060" width="6.5703125" style="178" bestFit="1" customWidth="1"/>
    <col min="13061" max="13061" width="4.85546875" style="178" bestFit="1" customWidth="1"/>
    <col min="13062" max="13062" width="6.5703125" style="178" bestFit="1" customWidth="1"/>
    <col min="13063" max="13063" width="9.28515625" style="178" customWidth="1"/>
    <col min="13064" max="13064" width="7.28515625" style="178" customWidth="1"/>
    <col min="13065" max="13065" width="9.42578125" style="178" bestFit="1" customWidth="1"/>
    <col min="13066" max="13066" width="7.140625" style="178" bestFit="1" customWidth="1"/>
    <col min="13067" max="13067" width="11.28515625" style="178" bestFit="1" customWidth="1"/>
    <col min="13068" max="13068" width="7.7109375" style="178" bestFit="1" customWidth="1"/>
    <col min="13069" max="13069" width="10" style="178" bestFit="1" customWidth="1"/>
    <col min="13070" max="13070" width="8.85546875" style="178" customWidth="1"/>
    <col min="13071" max="13071" width="8.5703125" style="178" customWidth="1"/>
    <col min="13072" max="13072" width="6.7109375" style="178" customWidth="1"/>
    <col min="13073" max="13073" width="9.140625" style="178" bestFit="1" customWidth="1"/>
    <col min="13074" max="13074" width="8.5703125" style="178" bestFit="1" customWidth="1"/>
    <col min="13075" max="13075" width="8.140625" style="178" bestFit="1" customWidth="1"/>
    <col min="13076" max="13076" width="8.42578125" style="178" customWidth="1"/>
    <col min="13077" max="13077" width="7.28515625" style="178" customWidth="1"/>
    <col min="13078" max="13078" width="6" style="178" customWidth="1"/>
    <col min="13079" max="13079" width="6.85546875" style="178" customWidth="1"/>
    <col min="13080" max="13080" width="7.5703125" style="178" bestFit="1" customWidth="1"/>
    <col min="13081" max="13081" width="7.42578125" style="178" customWidth="1"/>
    <col min="13082" max="13082" width="8" style="178" customWidth="1"/>
    <col min="13083" max="13083" width="22.42578125" style="178" customWidth="1"/>
    <col min="13084" max="13084" width="26" style="178" bestFit="1" customWidth="1"/>
    <col min="13085" max="13085" width="11.7109375" style="178" bestFit="1" customWidth="1"/>
    <col min="13086" max="13086" width="3.28515625" style="178" bestFit="1" customWidth="1"/>
    <col min="13087" max="13087" width="4.7109375" style="178" bestFit="1" customWidth="1"/>
    <col min="13088" max="13088" width="16.140625" style="178" bestFit="1" customWidth="1"/>
    <col min="13089" max="13089" width="3.28515625" style="178" bestFit="1" customWidth="1"/>
    <col min="13090" max="13090" width="5.85546875" style="178" bestFit="1" customWidth="1"/>
    <col min="13091" max="13092" width="11.42578125" style="178"/>
    <col min="13093" max="13093" width="19" style="178" customWidth="1"/>
    <col min="13094" max="13306" width="11.42578125" style="178"/>
    <col min="13307" max="13308" width="2.7109375" style="178" customWidth="1"/>
    <col min="13309" max="13309" width="4.85546875" style="178" bestFit="1" customWidth="1"/>
    <col min="13310" max="13311" width="2.7109375" style="178" customWidth="1"/>
    <col min="13312" max="13312" width="4.85546875" style="178" bestFit="1" customWidth="1"/>
    <col min="13313" max="13313" width="7.42578125" style="178" bestFit="1" customWidth="1"/>
    <col min="13314" max="13314" width="7.85546875" style="178" bestFit="1" customWidth="1"/>
    <col min="13315" max="13315" width="5.28515625" style="178" bestFit="1" customWidth="1"/>
    <col min="13316" max="13316" width="6.5703125" style="178" bestFit="1" customWidth="1"/>
    <col min="13317" max="13317" width="4.85546875" style="178" bestFit="1" customWidth="1"/>
    <col min="13318" max="13318" width="6.5703125" style="178" bestFit="1" customWidth="1"/>
    <col min="13319" max="13319" width="9.28515625" style="178" customWidth="1"/>
    <col min="13320" max="13320" width="7.28515625" style="178" customWidth="1"/>
    <col min="13321" max="13321" width="9.42578125" style="178" bestFit="1" customWidth="1"/>
    <col min="13322" max="13322" width="7.140625" style="178" bestFit="1" customWidth="1"/>
    <col min="13323" max="13323" width="11.28515625" style="178" bestFit="1" customWidth="1"/>
    <col min="13324" max="13324" width="7.7109375" style="178" bestFit="1" customWidth="1"/>
    <col min="13325" max="13325" width="10" style="178" bestFit="1" customWidth="1"/>
    <col min="13326" max="13326" width="8.85546875" style="178" customWidth="1"/>
    <col min="13327" max="13327" width="8.5703125" style="178" customWidth="1"/>
    <col min="13328" max="13328" width="6.7109375" style="178" customWidth="1"/>
    <col min="13329" max="13329" width="9.140625" style="178" bestFit="1" customWidth="1"/>
    <col min="13330" max="13330" width="8.5703125" style="178" bestFit="1" customWidth="1"/>
    <col min="13331" max="13331" width="8.140625" style="178" bestFit="1" customWidth="1"/>
    <col min="13332" max="13332" width="8.42578125" style="178" customWidth="1"/>
    <col min="13333" max="13333" width="7.28515625" style="178" customWidth="1"/>
    <col min="13334" max="13334" width="6" style="178" customWidth="1"/>
    <col min="13335" max="13335" width="6.85546875" style="178" customWidth="1"/>
    <col min="13336" max="13336" width="7.5703125" style="178" bestFit="1" customWidth="1"/>
    <col min="13337" max="13337" width="7.42578125" style="178" customWidth="1"/>
    <col min="13338" max="13338" width="8" style="178" customWidth="1"/>
    <col min="13339" max="13339" width="22.42578125" style="178" customWidth="1"/>
    <col min="13340" max="13340" width="26" style="178" bestFit="1" customWidth="1"/>
    <col min="13341" max="13341" width="11.7109375" style="178" bestFit="1" customWidth="1"/>
    <col min="13342" max="13342" width="3.28515625" style="178" bestFit="1" customWidth="1"/>
    <col min="13343" max="13343" width="4.7109375" style="178" bestFit="1" customWidth="1"/>
    <col min="13344" max="13344" width="16.140625" style="178" bestFit="1" customWidth="1"/>
    <col min="13345" max="13345" width="3.28515625" style="178" bestFit="1" customWidth="1"/>
    <col min="13346" max="13346" width="5.85546875" style="178" bestFit="1" customWidth="1"/>
    <col min="13347" max="13348" width="11.42578125" style="178"/>
    <col min="13349" max="13349" width="19" style="178" customWidth="1"/>
    <col min="13350" max="13562" width="11.42578125" style="178"/>
    <col min="13563" max="13564" width="2.7109375" style="178" customWidth="1"/>
    <col min="13565" max="13565" width="4.85546875" style="178" bestFit="1" customWidth="1"/>
    <col min="13566" max="13567" width="2.7109375" style="178" customWidth="1"/>
    <col min="13568" max="13568" width="4.85546875" style="178" bestFit="1" customWidth="1"/>
    <col min="13569" max="13569" width="7.42578125" style="178" bestFit="1" customWidth="1"/>
    <col min="13570" max="13570" width="7.85546875" style="178" bestFit="1" customWidth="1"/>
    <col min="13571" max="13571" width="5.28515625" style="178" bestFit="1" customWidth="1"/>
    <col min="13572" max="13572" width="6.5703125" style="178" bestFit="1" customWidth="1"/>
    <col min="13573" max="13573" width="4.85546875" style="178" bestFit="1" customWidth="1"/>
    <col min="13574" max="13574" width="6.5703125" style="178" bestFit="1" customWidth="1"/>
    <col min="13575" max="13575" width="9.28515625" style="178" customWidth="1"/>
    <col min="13576" max="13576" width="7.28515625" style="178" customWidth="1"/>
    <col min="13577" max="13577" width="9.42578125" style="178" bestFit="1" customWidth="1"/>
    <col min="13578" max="13578" width="7.140625" style="178" bestFit="1" customWidth="1"/>
    <col min="13579" max="13579" width="11.28515625" style="178" bestFit="1" customWidth="1"/>
    <col min="13580" max="13580" width="7.7109375" style="178" bestFit="1" customWidth="1"/>
    <col min="13581" max="13581" width="10" style="178" bestFit="1" customWidth="1"/>
    <col min="13582" max="13582" width="8.85546875" style="178" customWidth="1"/>
    <col min="13583" max="13583" width="8.5703125" style="178" customWidth="1"/>
    <col min="13584" max="13584" width="6.7109375" style="178" customWidth="1"/>
    <col min="13585" max="13585" width="9.140625" style="178" bestFit="1" customWidth="1"/>
    <col min="13586" max="13586" width="8.5703125" style="178" bestFit="1" customWidth="1"/>
    <col min="13587" max="13587" width="8.140625" style="178" bestFit="1" customWidth="1"/>
    <col min="13588" max="13588" width="8.42578125" style="178" customWidth="1"/>
    <col min="13589" max="13589" width="7.28515625" style="178" customWidth="1"/>
    <col min="13590" max="13590" width="6" style="178" customWidth="1"/>
    <col min="13591" max="13591" width="6.85546875" style="178" customWidth="1"/>
    <col min="13592" max="13592" width="7.5703125" style="178" bestFit="1" customWidth="1"/>
    <col min="13593" max="13593" width="7.42578125" style="178" customWidth="1"/>
    <col min="13594" max="13594" width="8" style="178" customWidth="1"/>
    <col min="13595" max="13595" width="22.42578125" style="178" customWidth="1"/>
    <col min="13596" max="13596" width="26" style="178" bestFit="1" customWidth="1"/>
    <col min="13597" max="13597" width="11.7109375" style="178" bestFit="1" customWidth="1"/>
    <col min="13598" max="13598" width="3.28515625" style="178" bestFit="1" customWidth="1"/>
    <col min="13599" max="13599" width="4.7109375" style="178" bestFit="1" customWidth="1"/>
    <col min="13600" max="13600" width="16.140625" style="178" bestFit="1" customWidth="1"/>
    <col min="13601" max="13601" width="3.28515625" style="178" bestFit="1" customWidth="1"/>
    <col min="13602" max="13602" width="5.85546875" style="178" bestFit="1" customWidth="1"/>
    <col min="13603" max="13604" width="11.42578125" style="178"/>
    <col min="13605" max="13605" width="19" style="178" customWidth="1"/>
    <col min="13606" max="13818" width="11.42578125" style="178"/>
    <col min="13819" max="13820" width="2.7109375" style="178" customWidth="1"/>
    <col min="13821" max="13821" width="4.85546875" style="178" bestFit="1" customWidth="1"/>
    <col min="13822" max="13823" width="2.7109375" style="178" customWidth="1"/>
    <col min="13824" max="13824" width="4.85546875" style="178" bestFit="1" customWidth="1"/>
    <col min="13825" max="13825" width="7.42578125" style="178" bestFit="1" customWidth="1"/>
    <col min="13826" max="13826" width="7.85546875" style="178" bestFit="1" customWidth="1"/>
    <col min="13827" max="13827" width="5.28515625" style="178" bestFit="1" customWidth="1"/>
    <col min="13828" max="13828" width="6.5703125" style="178" bestFit="1" customWidth="1"/>
    <col min="13829" max="13829" width="4.85546875" style="178" bestFit="1" customWidth="1"/>
    <col min="13830" max="13830" width="6.5703125" style="178" bestFit="1" customWidth="1"/>
    <col min="13831" max="13831" width="9.28515625" style="178" customWidth="1"/>
    <col min="13832" max="13832" width="7.28515625" style="178" customWidth="1"/>
    <col min="13833" max="13833" width="9.42578125" style="178" bestFit="1" customWidth="1"/>
    <col min="13834" max="13834" width="7.140625" style="178" bestFit="1" customWidth="1"/>
    <col min="13835" max="13835" width="11.28515625" style="178" bestFit="1" customWidth="1"/>
    <col min="13836" max="13836" width="7.7109375" style="178" bestFit="1" customWidth="1"/>
    <col min="13837" max="13837" width="10" style="178" bestFit="1" customWidth="1"/>
    <col min="13838" max="13838" width="8.85546875" style="178" customWidth="1"/>
    <col min="13839" max="13839" width="8.5703125" style="178" customWidth="1"/>
    <col min="13840" max="13840" width="6.7109375" style="178" customWidth="1"/>
    <col min="13841" max="13841" width="9.140625" style="178" bestFit="1" customWidth="1"/>
    <col min="13842" max="13842" width="8.5703125" style="178" bestFit="1" customWidth="1"/>
    <col min="13843" max="13843" width="8.140625" style="178" bestFit="1" customWidth="1"/>
    <col min="13844" max="13844" width="8.42578125" style="178" customWidth="1"/>
    <col min="13845" max="13845" width="7.28515625" style="178" customWidth="1"/>
    <col min="13846" max="13846" width="6" style="178" customWidth="1"/>
    <col min="13847" max="13847" width="6.85546875" style="178" customWidth="1"/>
    <col min="13848" max="13848" width="7.5703125" style="178" bestFit="1" customWidth="1"/>
    <col min="13849" max="13849" width="7.42578125" style="178" customWidth="1"/>
    <col min="13850" max="13850" width="8" style="178" customWidth="1"/>
    <col min="13851" max="13851" width="22.42578125" style="178" customWidth="1"/>
    <col min="13852" max="13852" width="26" style="178" bestFit="1" customWidth="1"/>
    <col min="13853" max="13853" width="11.7109375" style="178" bestFit="1" customWidth="1"/>
    <col min="13854" max="13854" width="3.28515625" style="178" bestFit="1" customWidth="1"/>
    <col min="13855" max="13855" width="4.7109375" style="178" bestFit="1" customWidth="1"/>
    <col min="13856" max="13856" width="16.140625" style="178" bestFit="1" customWidth="1"/>
    <col min="13857" max="13857" width="3.28515625" style="178" bestFit="1" customWidth="1"/>
    <col min="13858" max="13858" width="5.85546875" style="178" bestFit="1" customWidth="1"/>
    <col min="13859" max="13860" width="11.42578125" style="178"/>
    <col min="13861" max="13861" width="19" style="178" customWidth="1"/>
    <col min="13862" max="14074" width="11.42578125" style="178"/>
    <col min="14075" max="14076" width="2.7109375" style="178" customWidth="1"/>
    <col min="14077" max="14077" width="4.85546875" style="178" bestFit="1" customWidth="1"/>
    <col min="14078" max="14079" width="2.7109375" style="178" customWidth="1"/>
    <col min="14080" max="14080" width="4.85546875" style="178" bestFit="1" customWidth="1"/>
    <col min="14081" max="14081" width="7.42578125" style="178" bestFit="1" customWidth="1"/>
    <col min="14082" max="14082" width="7.85546875" style="178" bestFit="1" customWidth="1"/>
    <col min="14083" max="14083" width="5.28515625" style="178" bestFit="1" customWidth="1"/>
    <col min="14084" max="14084" width="6.5703125" style="178" bestFit="1" customWidth="1"/>
    <col min="14085" max="14085" width="4.85546875" style="178" bestFit="1" customWidth="1"/>
    <col min="14086" max="14086" width="6.5703125" style="178" bestFit="1" customWidth="1"/>
    <col min="14087" max="14087" width="9.28515625" style="178" customWidth="1"/>
    <col min="14088" max="14088" width="7.28515625" style="178" customWidth="1"/>
    <col min="14089" max="14089" width="9.42578125" style="178" bestFit="1" customWidth="1"/>
    <col min="14090" max="14090" width="7.140625" style="178" bestFit="1" customWidth="1"/>
    <col min="14091" max="14091" width="11.28515625" style="178" bestFit="1" customWidth="1"/>
    <col min="14092" max="14092" width="7.7109375" style="178" bestFit="1" customWidth="1"/>
    <col min="14093" max="14093" width="10" style="178" bestFit="1" customWidth="1"/>
    <col min="14094" max="14094" width="8.85546875" style="178" customWidth="1"/>
    <col min="14095" max="14095" width="8.5703125" style="178" customWidth="1"/>
    <col min="14096" max="14096" width="6.7109375" style="178" customWidth="1"/>
    <col min="14097" max="14097" width="9.140625" style="178" bestFit="1" customWidth="1"/>
    <col min="14098" max="14098" width="8.5703125" style="178" bestFit="1" customWidth="1"/>
    <col min="14099" max="14099" width="8.140625" style="178" bestFit="1" customWidth="1"/>
    <col min="14100" max="14100" width="8.42578125" style="178" customWidth="1"/>
    <col min="14101" max="14101" width="7.28515625" style="178" customWidth="1"/>
    <col min="14102" max="14102" width="6" style="178" customWidth="1"/>
    <col min="14103" max="14103" width="6.85546875" style="178" customWidth="1"/>
    <col min="14104" max="14104" width="7.5703125" style="178" bestFit="1" customWidth="1"/>
    <col min="14105" max="14105" width="7.42578125" style="178" customWidth="1"/>
    <col min="14106" max="14106" width="8" style="178" customWidth="1"/>
    <col min="14107" max="14107" width="22.42578125" style="178" customWidth="1"/>
    <col min="14108" max="14108" width="26" style="178" bestFit="1" customWidth="1"/>
    <col min="14109" max="14109" width="11.7109375" style="178" bestFit="1" customWidth="1"/>
    <col min="14110" max="14110" width="3.28515625" style="178" bestFit="1" customWidth="1"/>
    <col min="14111" max="14111" width="4.7109375" style="178" bestFit="1" customWidth="1"/>
    <col min="14112" max="14112" width="16.140625" style="178" bestFit="1" customWidth="1"/>
    <col min="14113" max="14113" width="3.28515625" style="178" bestFit="1" customWidth="1"/>
    <col min="14114" max="14114" width="5.85546875" style="178" bestFit="1" customWidth="1"/>
    <col min="14115" max="14116" width="11.42578125" style="178"/>
    <col min="14117" max="14117" width="19" style="178" customWidth="1"/>
    <col min="14118" max="14330" width="11.42578125" style="178"/>
    <col min="14331" max="14332" width="2.7109375" style="178" customWidth="1"/>
    <col min="14333" max="14333" width="4.85546875" style="178" bestFit="1" customWidth="1"/>
    <col min="14334" max="14335" width="2.7109375" style="178" customWidth="1"/>
    <col min="14336" max="14336" width="4.85546875" style="178" bestFit="1" customWidth="1"/>
    <col min="14337" max="14337" width="7.42578125" style="178" bestFit="1" customWidth="1"/>
    <col min="14338" max="14338" width="7.85546875" style="178" bestFit="1" customWidth="1"/>
    <col min="14339" max="14339" width="5.28515625" style="178" bestFit="1" customWidth="1"/>
    <col min="14340" max="14340" width="6.5703125" style="178" bestFit="1" customWidth="1"/>
    <col min="14341" max="14341" width="4.85546875" style="178" bestFit="1" customWidth="1"/>
    <col min="14342" max="14342" width="6.5703125" style="178" bestFit="1" customWidth="1"/>
    <col min="14343" max="14343" width="9.28515625" style="178" customWidth="1"/>
    <col min="14344" max="14344" width="7.28515625" style="178" customWidth="1"/>
    <col min="14345" max="14345" width="9.42578125" style="178" bestFit="1" customWidth="1"/>
    <col min="14346" max="14346" width="7.140625" style="178" bestFit="1" customWidth="1"/>
    <col min="14347" max="14347" width="11.28515625" style="178" bestFit="1" customWidth="1"/>
    <col min="14348" max="14348" width="7.7109375" style="178" bestFit="1" customWidth="1"/>
    <col min="14349" max="14349" width="10" style="178" bestFit="1" customWidth="1"/>
    <col min="14350" max="14350" width="8.85546875" style="178" customWidth="1"/>
    <col min="14351" max="14351" width="8.5703125" style="178" customWidth="1"/>
    <col min="14352" max="14352" width="6.7109375" style="178" customWidth="1"/>
    <col min="14353" max="14353" width="9.140625" style="178" bestFit="1" customWidth="1"/>
    <col min="14354" max="14354" width="8.5703125" style="178" bestFit="1" customWidth="1"/>
    <col min="14355" max="14355" width="8.140625" style="178" bestFit="1" customWidth="1"/>
    <col min="14356" max="14356" width="8.42578125" style="178" customWidth="1"/>
    <col min="14357" max="14357" width="7.28515625" style="178" customWidth="1"/>
    <col min="14358" max="14358" width="6" style="178" customWidth="1"/>
    <col min="14359" max="14359" width="6.85546875" style="178" customWidth="1"/>
    <col min="14360" max="14360" width="7.5703125" style="178" bestFit="1" customWidth="1"/>
    <col min="14361" max="14361" width="7.42578125" style="178" customWidth="1"/>
    <col min="14362" max="14362" width="8" style="178" customWidth="1"/>
    <col min="14363" max="14363" width="22.42578125" style="178" customWidth="1"/>
    <col min="14364" max="14364" width="26" style="178" bestFit="1" customWidth="1"/>
    <col min="14365" max="14365" width="11.7109375" style="178" bestFit="1" customWidth="1"/>
    <col min="14366" max="14366" width="3.28515625" style="178" bestFit="1" customWidth="1"/>
    <col min="14367" max="14367" width="4.7109375" style="178" bestFit="1" customWidth="1"/>
    <col min="14368" max="14368" width="16.140625" style="178" bestFit="1" customWidth="1"/>
    <col min="14369" max="14369" width="3.28515625" style="178" bestFit="1" customWidth="1"/>
    <col min="14370" max="14370" width="5.85546875" style="178" bestFit="1" customWidth="1"/>
    <col min="14371" max="14372" width="11.42578125" style="178"/>
    <col min="14373" max="14373" width="19" style="178" customWidth="1"/>
    <col min="14374" max="14586" width="11.42578125" style="178"/>
    <col min="14587" max="14588" width="2.7109375" style="178" customWidth="1"/>
    <col min="14589" max="14589" width="4.85546875" style="178" bestFit="1" customWidth="1"/>
    <col min="14590" max="14591" width="2.7109375" style="178" customWidth="1"/>
    <col min="14592" max="14592" width="4.85546875" style="178" bestFit="1" customWidth="1"/>
    <col min="14593" max="14593" width="7.42578125" style="178" bestFit="1" customWidth="1"/>
    <col min="14594" max="14594" width="7.85546875" style="178" bestFit="1" customWidth="1"/>
    <col min="14595" max="14595" width="5.28515625" style="178" bestFit="1" customWidth="1"/>
    <col min="14596" max="14596" width="6.5703125" style="178" bestFit="1" customWidth="1"/>
    <col min="14597" max="14597" width="4.85546875" style="178" bestFit="1" customWidth="1"/>
    <col min="14598" max="14598" width="6.5703125" style="178" bestFit="1" customWidth="1"/>
    <col min="14599" max="14599" width="9.28515625" style="178" customWidth="1"/>
    <col min="14600" max="14600" width="7.28515625" style="178" customWidth="1"/>
    <col min="14601" max="14601" width="9.42578125" style="178" bestFit="1" customWidth="1"/>
    <col min="14602" max="14602" width="7.140625" style="178" bestFit="1" customWidth="1"/>
    <col min="14603" max="14603" width="11.28515625" style="178" bestFit="1" customWidth="1"/>
    <col min="14604" max="14604" width="7.7109375" style="178" bestFit="1" customWidth="1"/>
    <col min="14605" max="14605" width="10" style="178" bestFit="1" customWidth="1"/>
    <col min="14606" max="14606" width="8.85546875" style="178" customWidth="1"/>
    <col min="14607" max="14607" width="8.5703125" style="178" customWidth="1"/>
    <col min="14608" max="14608" width="6.7109375" style="178" customWidth="1"/>
    <col min="14609" max="14609" width="9.140625" style="178" bestFit="1" customWidth="1"/>
    <col min="14610" max="14610" width="8.5703125" style="178" bestFit="1" customWidth="1"/>
    <col min="14611" max="14611" width="8.140625" style="178" bestFit="1" customWidth="1"/>
    <col min="14612" max="14612" width="8.42578125" style="178" customWidth="1"/>
    <col min="14613" max="14613" width="7.28515625" style="178" customWidth="1"/>
    <col min="14614" max="14614" width="6" style="178" customWidth="1"/>
    <col min="14615" max="14615" width="6.85546875" style="178" customWidth="1"/>
    <col min="14616" max="14616" width="7.5703125" style="178" bestFit="1" customWidth="1"/>
    <col min="14617" max="14617" width="7.42578125" style="178" customWidth="1"/>
    <col min="14618" max="14618" width="8" style="178" customWidth="1"/>
    <col min="14619" max="14619" width="22.42578125" style="178" customWidth="1"/>
    <col min="14620" max="14620" width="26" style="178" bestFit="1" customWidth="1"/>
    <col min="14621" max="14621" width="11.7109375" style="178" bestFit="1" customWidth="1"/>
    <col min="14622" max="14622" width="3.28515625" style="178" bestFit="1" customWidth="1"/>
    <col min="14623" max="14623" width="4.7109375" style="178" bestFit="1" customWidth="1"/>
    <col min="14624" max="14624" width="16.140625" style="178" bestFit="1" customWidth="1"/>
    <col min="14625" max="14625" width="3.28515625" style="178" bestFit="1" customWidth="1"/>
    <col min="14626" max="14626" width="5.85546875" style="178" bestFit="1" customWidth="1"/>
    <col min="14627" max="14628" width="11.42578125" style="178"/>
    <col min="14629" max="14629" width="19" style="178" customWidth="1"/>
    <col min="14630" max="14842" width="11.42578125" style="178"/>
    <col min="14843" max="14844" width="2.7109375" style="178" customWidth="1"/>
    <col min="14845" max="14845" width="4.85546875" style="178" bestFit="1" customWidth="1"/>
    <col min="14846" max="14847" width="2.7109375" style="178" customWidth="1"/>
    <col min="14848" max="14848" width="4.85546875" style="178" bestFit="1" customWidth="1"/>
    <col min="14849" max="14849" width="7.42578125" style="178" bestFit="1" customWidth="1"/>
    <col min="14850" max="14850" width="7.85546875" style="178" bestFit="1" customWidth="1"/>
    <col min="14851" max="14851" width="5.28515625" style="178" bestFit="1" customWidth="1"/>
    <col min="14852" max="14852" width="6.5703125" style="178" bestFit="1" customWidth="1"/>
    <col min="14853" max="14853" width="4.85546875" style="178" bestFit="1" customWidth="1"/>
    <col min="14854" max="14854" width="6.5703125" style="178" bestFit="1" customWidth="1"/>
    <col min="14855" max="14855" width="9.28515625" style="178" customWidth="1"/>
    <col min="14856" max="14856" width="7.28515625" style="178" customWidth="1"/>
    <col min="14857" max="14857" width="9.42578125" style="178" bestFit="1" customWidth="1"/>
    <col min="14858" max="14858" width="7.140625" style="178" bestFit="1" customWidth="1"/>
    <col min="14859" max="14859" width="11.28515625" style="178" bestFit="1" customWidth="1"/>
    <col min="14860" max="14860" width="7.7109375" style="178" bestFit="1" customWidth="1"/>
    <col min="14861" max="14861" width="10" style="178" bestFit="1" customWidth="1"/>
    <col min="14862" max="14862" width="8.85546875" style="178" customWidth="1"/>
    <col min="14863" max="14863" width="8.5703125" style="178" customWidth="1"/>
    <col min="14864" max="14864" width="6.7109375" style="178" customWidth="1"/>
    <col min="14865" max="14865" width="9.140625" style="178" bestFit="1" customWidth="1"/>
    <col min="14866" max="14866" width="8.5703125" style="178" bestFit="1" customWidth="1"/>
    <col min="14867" max="14867" width="8.140625" style="178" bestFit="1" customWidth="1"/>
    <col min="14868" max="14868" width="8.42578125" style="178" customWidth="1"/>
    <col min="14869" max="14869" width="7.28515625" style="178" customWidth="1"/>
    <col min="14870" max="14870" width="6" style="178" customWidth="1"/>
    <col min="14871" max="14871" width="6.85546875" style="178" customWidth="1"/>
    <col min="14872" max="14872" width="7.5703125" style="178" bestFit="1" customWidth="1"/>
    <col min="14873" max="14873" width="7.42578125" style="178" customWidth="1"/>
    <col min="14874" max="14874" width="8" style="178" customWidth="1"/>
    <col min="14875" max="14875" width="22.42578125" style="178" customWidth="1"/>
    <col min="14876" max="14876" width="26" style="178" bestFit="1" customWidth="1"/>
    <col min="14877" max="14877" width="11.7109375" style="178" bestFit="1" customWidth="1"/>
    <col min="14878" max="14878" width="3.28515625" style="178" bestFit="1" customWidth="1"/>
    <col min="14879" max="14879" width="4.7109375" style="178" bestFit="1" customWidth="1"/>
    <col min="14880" max="14880" width="16.140625" style="178" bestFit="1" customWidth="1"/>
    <col min="14881" max="14881" width="3.28515625" style="178" bestFit="1" customWidth="1"/>
    <col min="14882" max="14882" width="5.85546875" style="178" bestFit="1" customWidth="1"/>
    <col min="14883" max="14884" width="11.42578125" style="178"/>
    <col min="14885" max="14885" width="19" style="178" customWidth="1"/>
    <col min="14886" max="15098" width="11.42578125" style="178"/>
    <col min="15099" max="15100" width="2.7109375" style="178" customWidth="1"/>
    <col min="15101" max="15101" width="4.85546875" style="178" bestFit="1" customWidth="1"/>
    <col min="15102" max="15103" width="2.7109375" style="178" customWidth="1"/>
    <col min="15104" max="15104" width="4.85546875" style="178" bestFit="1" customWidth="1"/>
    <col min="15105" max="15105" width="7.42578125" style="178" bestFit="1" customWidth="1"/>
    <col min="15106" max="15106" width="7.85546875" style="178" bestFit="1" customWidth="1"/>
    <col min="15107" max="15107" width="5.28515625" style="178" bestFit="1" customWidth="1"/>
    <col min="15108" max="15108" width="6.5703125" style="178" bestFit="1" customWidth="1"/>
    <col min="15109" max="15109" width="4.85546875" style="178" bestFit="1" customWidth="1"/>
    <col min="15110" max="15110" width="6.5703125" style="178" bestFit="1" customWidth="1"/>
    <col min="15111" max="15111" width="9.28515625" style="178" customWidth="1"/>
    <col min="15112" max="15112" width="7.28515625" style="178" customWidth="1"/>
    <col min="15113" max="15113" width="9.42578125" style="178" bestFit="1" customWidth="1"/>
    <col min="15114" max="15114" width="7.140625" style="178" bestFit="1" customWidth="1"/>
    <col min="15115" max="15115" width="11.28515625" style="178" bestFit="1" customWidth="1"/>
    <col min="15116" max="15116" width="7.7109375" style="178" bestFit="1" customWidth="1"/>
    <col min="15117" max="15117" width="10" style="178" bestFit="1" customWidth="1"/>
    <col min="15118" max="15118" width="8.85546875" style="178" customWidth="1"/>
    <col min="15119" max="15119" width="8.5703125" style="178" customWidth="1"/>
    <col min="15120" max="15120" width="6.7109375" style="178" customWidth="1"/>
    <col min="15121" max="15121" width="9.140625" style="178" bestFit="1" customWidth="1"/>
    <col min="15122" max="15122" width="8.5703125" style="178" bestFit="1" customWidth="1"/>
    <col min="15123" max="15123" width="8.140625" style="178" bestFit="1" customWidth="1"/>
    <col min="15124" max="15124" width="8.42578125" style="178" customWidth="1"/>
    <col min="15125" max="15125" width="7.28515625" style="178" customWidth="1"/>
    <col min="15126" max="15126" width="6" style="178" customWidth="1"/>
    <col min="15127" max="15127" width="6.85546875" style="178" customWidth="1"/>
    <col min="15128" max="15128" width="7.5703125" style="178" bestFit="1" customWidth="1"/>
    <col min="15129" max="15129" width="7.42578125" style="178" customWidth="1"/>
    <col min="15130" max="15130" width="8" style="178" customWidth="1"/>
    <col min="15131" max="15131" width="22.42578125" style="178" customWidth="1"/>
    <col min="15132" max="15132" width="26" style="178" bestFit="1" customWidth="1"/>
    <col min="15133" max="15133" width="11.7109375" style="178" bestFit="1" customWidth="1"/>
    <col min="15134" max="15134" width="3.28515625" style="178" bestFit="1" customWidth="1"/>
    <col min="15135" max="15135" width="4.7109375" style="178" bestFit="1" customWidth="1"/>
    <col min="15136" max="15136" width="16.140625" style="178" bestFit="1" customWidth="1"/>
    <col min="15137" max="15137" width="3.28515625" style="178" bestFit="1" customWidth="1"/>
    <col min="15138" max="15138" width="5.85546875" style="178" bestFit="1" customWidth="1"/>
    <col min="15139" max="15140" width="11.42578125" style="178"/>
    <col min="15141" max="15141" width="19" style="178" customWidth="1"/>
    <col min="15142" max="15354" width="11.42578125" style="178"/>
    <col min="15355" max="15356" width="2.7109375" style="178" customWidth="1"/>
    <col min="15357" max="15357" width="4.85546875" style="178" bestFit="1" customWidth="1"/>
    <col min="15358" max="15359" width="2.7109375" style="178" customWidth="1"/>
    <col min="15360" max="15360" width="4.85546875" style="178" bestFit="1" customWidth="1"/>
    <col min="15361" max="15361" width="7.42578125" style="178" bestFit="1" customWidth="1"/>
    <col min="15362" max="15362" width="7.85546875" style="178" bestFit="1" customWidth="1"/>
    <col min="15363" max="15363" width="5.28515625" style="178" bestFit="1" customWidth="1"/>
    <col min="15364" max="15364" width="6.5703125" style="178" bestFit="1" customWidth="1"/>
    <col min="15365" max="15365" width="4.85546875" style="178" bestFit="1" customWidth="1"/>
    <col min="15366" max="15366" width="6.5703125" style="178" bestFit="1" customWidth="1"/>
    <col min="15367" max="15367" width="9.28515625" style="178" customWidth="1"/>
    <col min="15368" max="15368" width="7.28515625" style="178" customWidth="1"/>
    <col min="15369" max="15369" width="9.42578125" style="178" bestFit="1" customWidth="1"/>
    <col min="15370" max="15370" width="7.140625" style="178" bestFit="1" customWidth="1"/>
    <col min="15371" max="15371" width="11.28515625" style="178" bestFit="1" customWidth="1"/>
    <col min="15372" max="15372" width="7.7109375" style="178" bestFit="1" customWidth="1"/>
    <col min="15373" max="15373" width="10" style="178" bestFit="1" customWidth="1"/>
    <col min="15374" max="15374" width="8.85546875" style="178" customWidth="1"/>
    <col min="15375" max="15375" width="8.5703125" style="178" customWidth="1"/>
    <col min="15376" max="15376" width="6.7109375" style="178" customWidth="1"/>
    <col min="15377" max="15377" width="9.140625" style="178" bestFit="1" customWidth="1"/>
    <col min="15378" max="15378" width="8.5703125" style="178" bestFit="1" customWidth="1"/>
    <col min="15379" max="15379" width="8.140625" style="178" bestFit="1" customWidth="1"/>
    <col min="15380" max="15380" width="8.42578125" style="178" customWidth="1"/>
    <col min="15381" max="15381" width="7.28515625" style="178" customWidth="1"/>
    <col min="15382" max="15382" width="6" style="178" customWidth="1"/>
    <col min="15383" max="15383" width="6.85546875" style="178" customWidth="1"/>
    <col min="15384" max="15384" width="7.5703125" style="178" bestFit="1" customWidth="1"/>
    <col min="15385" max="15385" width="7.42578125" style="178" customWidth="1"/>
    <col min="15386" max="15386" width="8" style="178" customWidth="1"/>
    <col min="15387" max="15387" width="22.42578125" style="178" customWidth="1"/>
    <col min="15388" max="15388" width="26" style="178" bestFit="1" customWidth="1"/>
    <col min="15389" max="15389" width="11.7109375" style="178" bestFit="1" customWidth="1"/>
    <col min="15390" max="15390" width="3.28515625" style="178" bestFit="1" customWidth="1"/>
    <col min="15391" max="15391" width="4.7109375" style="178" bestFit="1" customWidth="1"/>
    <col min="15392" max="15392" width="16.140625" style="178" bestFit="1" customWidth="1"/>
    <col min="15393" max="15393" width="3.28515625" style="178" bestFit="1" customWidth="1"/>
    <col min="15394" max="15394" width="5.85546875" style="178" bestFit="1" customWidth="1"/>
    <col min="15395" max="15396" width="11.42578125" style="178"/>
    <col min="15397" max="15397" width="19" style="178" customWidth="1"/>
    <col min="15398" max="15610" width="11.42578125" style="178"/>
    <col min="15611" max="15612" width="2.7109375" style="178" customWidth="1"/>
    <col min="15613" max="15613" width="4.85546875" style="178" bestFit="1" customWidth="1"/>
    <col min="15614" max="15615" width="2.7109375" style="178" customWidth="1"/>
    <col min="15616" max="15616" width="4.85546875" style="178" bestFit="1" customWidth="1"/>
    <col min="15617" max="15617" width="7.42578125" style="178" bestFit="1" customWidth="1"/>
    <col min="15618" max="15618" width="7.85546875" style="178" bestFit="1" customWidth="1"/>
    <col min="15619" max="15619" width="5.28515625" style="178" bestFit="1" customWidth="1"/>
    <col min="15620" max="15620" width="6.5703125" style="178" bestFit="1" customWidth="1"/>
    <col min="15621" max="15621" width="4.85546875" style="178" bestFit="1" customWidth="1"/>
    <col min="15622" max="15622" width="6.5703125" style="178" bestFit="1" customWidth="1"/>
    <col min="15623" max="15623" width="9.28515625" style="178" customWidth="1"/>
    <col min="15624" max="15624" width="7.28515625" style="178" customWidth="1"/>
    <col min="15625" max="15625" width="9.42578125" style="178" bestFit="1" customWidth="1"/>
    <col min="15626" max="15626" width="7.140625" style="178" bestFit="1" customWidth="1"/>
    <col min="15627" max="15627" width="11.28515625" style="178" bestFit="1" customWidth="1"/>
    <col min="15628" max="15628" width="7.7109375" style="178" bestFit="1" customWidth="1"/>
    <col min="15629" max="15629" width="10" style="178" bestFit="1" customWidth="1"/>
    <col min="15630" max="15630" width="8.85546875" style="178" customWidth="1"/>
    <col min="15631" max="15631" width="8.5703125" style="178" customWidth="1"/>
    <col min="15632" max="15632" width="6.7109375" style="178" customWidth="1"/>
    <col min="15633" max="15633" width="9.140625" style="178" bestFit="1" customWidth="1"/>
    <col min="15634" max="15634" width="8.5703125" style="178" bestFit="1" customWidth="1"/>
    <col min="15635" max="15635" width="8.140625" style="178" bestFit="1" customWidth="1"/>
    <col min="15636" max="15636" width="8.42578125" style="178" customWidth="1"/>
    <col min="15637" max="15637" width="7.28515625" style="178" customWidth="1"/>
    <col min="15638" max="15638" width="6" style="178" customWidth="1"/>
    <col min="15639" max="15639" width="6.85546875" style="178" customWidth="1"/>
    <col min="15640" max="15640" width="7.5703125" style="178" bestFit="1" customWidth="1"/>
    <col min="15641" max="15641" width="7.42578125" style="178" customWidth="1"/>
    <col min="15642" max="15642" width="8" style="178" customWidth="1"/>
    <col min="15643" max="15643" width="22.42578125" style="178" customWidth="1"/>
    <col min="15644" max="15644" width="26" style="178" bestFit="1" customWidth="1"/>
    <col min="15645" max="15645" width="11.7109375" style="178" bestFit="1" customWidth="1"/>
    <col min="15646" max="15646" width="3.28515625" style="178" bestFit="1" customWidth="1"/>
    <col min="15647" max="15647" width="4.7109375" style="178" bestFit="1" customWidth="1"/>
    <col min="15648" max="15648" width="16.140625" style="178" bestFit="1" customWidth="1"/>
    <col min="15649" max="15649" width="3.28515625" style="178" bestFit="1" customWidth="1"/>
    <col min="15650" max="15650" width="5.85546875" style="178" bestFit="1" customWidth="1"/>
    <col min="15651" max="15652" width="11.42578125" style="178"/>
    <col min="15653" max="15653" width="19" style="178" customWidth="1"/>
    <col min="15654" max="15866" width="11.42578125" style="178"/>
    <col min="15867" max="15868" width="2.7109375" style="178" customWidth="1"/>
    <col min="15869" max="15869" width="4.85546875" style="178" bestFit="1" customWidth="1"/>
    <col min="15870" max="15871" width="2.7109375" style="178" customWidth="1"/>
    <col min="15872" max="15872" width="4.85546875" style="178" bestFit="1" customWidth="1"/>
    <col min="15873" max="15873" width="7.42578125" style="178" bestFit="1" customWidth="1"/>
    <col min="15874" max="15874" width="7.85546875" style="178" bestFit="1" customWidth="1"/>
    <col min="15875" max="15875" width="5.28515625" style="178" bestFit="1" customWidth="1"/>
    <col min="15876" max="15876" width="6.5703125" style="178" bestFit="1" customWidth="1"/>
    <col min="15877" max="15877" width="4.85546875" style="178" bestFit="1" customWidth="1"/>
    <col min="15878" max="15878" width="6.5703125" style="178" bestFit="1" customWidth="1"/>
    <col min="15879" max="15879" width="9.28515625" style="178" customWidth="1"/>
    <col min="15880" max="15880" width="7.28515625" style="178" customWidth="1"/>
    <col min="15881" max="15881" width="9.42578125" style="178" bestFit="1" customWidth="1"/>
    <col min="15882" max="15882" width="7.140625" style="178" bestFit="1" customWidth="1"/>
    <col min="15883" max="15883" width="11.28515625" style="178" bestFit="1" customWidth="1"/>
    <col min="15884" max="15884" width="7.7109375" style="178" bestFit="1" customWidth="1"/>
    <col min="15885" max="15885" width="10" style="178" bestFit="1" customWidth="1"/>
    <col min="15886" max="15886" width="8.85546875" style="178" customWidth="1"/>
    <col min="15887" max="15887" width="8.5703125" style="178" customWidth="1"/>
    <col min="15888" max="15888" width="6.7109375" style="178" customWidth="1"/>
    <col min="15889" max="15889" width="9.140625" style="178" bestFit="1" customWidth="1"/>
    <col min="15890" max="15890" width="8.5703125" style="178" bestFit="1" customWidth="1"/>
    <col min="15891" max="15891" width="8.140625" style="178" bestFit="1" customWidth="1"/>
    <col min="15892" max="15892" width="8.42578125" style="178" customWidth="1"/>
    <col min="15893" max="15893" width="7.28515625" style="178" customWidth="1"/>
    <col min="15894" max="15894" width="6" style="178" customWidth="1"/>
    <col min="15895" max="15895" width="6.85546875" style="178" customWidth="1"/>
    <col min="15896" max="15896" width="7.5703125" style="178" bestFit="1" customWidth="1"/>
    <col min="15897" max="15897" width="7.42578125" style="178" customWidth="1"/>
    <col min="15898" max="15898" width="8" style="178" customWidth="1"/>
    <col min="15899" max="15899" width="22.42578125" style="178" customWidth="1"/>
    <col min="15900" max="15900" width="26" style="178" bestFit="1" customWidth="1"/>
    <col min="15901" max="15901" width="11.7109375" style="178" bestFit="1" customWidth="1"/>
    <col min="15902" max="15902" width="3.28515625" style="178" bestFit="1" customWidth="1"/>
    <col min="15903" max="15903" width="4.7109375" style="178" bestFit="1" customWidth="1"/>
    <col min="15904" max="15904" width="16.140625" style="178" bestFit="1" customWidth="1"/>
    <col min="15905" max="15905" width="3.28515625" style="178" bestFit="1" customWidth="1"/>
    <col min="15906" max="15906" width="5.85546875" style="178" bestFit="1" customWidth="1"/>
    <col min="15907" max="15908" width="11.42578125" style="178"/>
    <col min="15909" max="15909" width="19" style="178" customWidth="1"/>
    <col min="15910" max="16122" width="11.42578125" style="178"/>
    <col min="16123" max="16124" width="2.7109375" style="178" customWidth="1"/>
    <col min="16125" max="16125" width="4.85546875" style="178" bestFit="1" customWidth="1"/>
    <col min="16126" max="16127" width="2.7109375" style="178" customWidth="1"/>
    <col min="16128" max="16128" width="4.85546875" style="178" bestFit="1" customWidth="1"/>
    <col min="16129" max="16129" width="7.42578125" style="178" bestFit="1" customWidth="1"/>
    <col min="16130" max="16130" width="7.85546875" style="178" bestFit="1" customWidth="1"/>
    <col min="16131" max="16131" width="5.28515625" style="178" bestFit="1" customWidth="1"/>
    <col min="16132" max="16132" width="6.5703125" style="178" bestFit="1" customWidth="1"/>
    <col min="16133" max="16133" width="4.85546875" style="178" bestFit="1" customWidth="1"/>
    <col min="16134" max="16134" width="6.5703125" style="178" bestFit="1" customWidth="1"/>
    <col min="16135" max="16135" width="9.28515625" style="178" customWidth="1"/>
    <col min="16136" max="16136" width="7.28515625" style="178" customWidth="1"/>
    <col min="16137" max="16137" width="9.42578125" style="178" bestFit="1" customWidth="1"/>
    <col min="16138" max="16138" width="7.140625" style="178" bestFit="1" customWidth="1"/>
    <col min="16139" max="16139" width="11.28515625" style="178" bestFit="1" customWidth="1"/>
    <col min="16140" max="16140" width="7.7109375" style="178" bestFit="1" customWidth="1"/>
    <col min="16141" max="16141" width="10" style="178" bestFit="1" customWidth="1"/>
    <col min="16142" max="16142" width="8.85546875" style="178" customWidth="1"/>
    <col min="16143" max="16143" width="8.5703125" style="178" customWidth="1"/>
    <col min="16144" max="16144" width="6.7109375" style="178" customWidth="1"/>
    <col min="16145" max="16145" width="9.140625" style="178" bestFit="1" customWidth="1"/>
    <col min="16146" max="16146" width="8.5703125" style="178" bestFit="1" customWidth="1"/>
    <col min="16147" max="16147" width="8.140625" style="178" bestFit="1" customWidth="1"/>
    <col min="16148" max="16148" width="8.42578125" style="178" customWidth="1"/>
    <col min="16149" max="16149" width="7.28515625" style="178" customWidth="1"/>
    <col min="16150" max="16150" width="6" style="178" customWidth="1"/>
    <col min="16151" max="16151" width="6.85546875" style="178" customWidth="1"/>
    <col min="16152" max="16152" width="7.5703125" style="178" bestFit="1" customWidth="1"/>
    <col min="16153" max="16153" width="7.42578125" style="178" customWidth="1"/>
    <col min="16154" max="16154" width="8" style="178" customWidth="1"/>
    <col min="16155" max="16155" width="22.42578125" style="178" customWidth="1"/>
    <col min="16156" max="16156" width="26" style="178" bestFit="1" customWidth="1"/>
    <col min="16157" max="16157" width="11.7109375" style="178" bestFit="1" customWidth="1"/>
    <col min="16158" max="16158" width="3.28515625" style="178" bestFit="1" customWidth="1"/>
    <col min="16159" max="16159" width="4.7109375" style="178" bestFit="1" customWidth="1"/>
    <col min="16160" max="16160" width="16.140625" style="178" bestFit="1" customWidth="1"/>
    <col min="16161" max="16161" width="3.28515625" style="178" bestFit="1" customWidth="1"/>
    <col min="16162" max="16162" width="5.85546875" style="178" bestFit="1" customWidth="1"/>
    <col min="16163" max="16164" width="11.42578125" style="178"/>
    <col min="16165" max="16165" width="19" style="178" customWidth="1"/>
    <col min="16166" max="16384" width="11.42578125" style="178"/>
  </cols>
  <sheetData>
    <row r="1" spans="1:37" s="177" customFormat="1" ht="36.75" customHeight="1">
      <c r="A1" s="728"/>
      <c r="B1" s="729"/>
      <c r="C1" s="729"/>
      <c r="D1" s="729"/>
      <c r="E1" s="729"/>
      <c r="F1" s="730"/>
      <c r="G1" s="744" t="s">
        <v>263</v>
      </c>
      <c r="H1" s="744"/>
      <c r="I1" s="744"/>
      <c r="J1" s="744"/>
      <c r="K1" s="744"/>
      <c r="L1" s="744"/>
      <c r="M1" s="744"/>
      <c r="N1" s="744"/>
      <c r="O1" s="744"/>
      <c r="P1" s="744"/>
      <c r="Q1" s="744"/>
      <c r="R1" s="744"/>
      <c r="S1" s="744"/>
      <c r="T1" s="744"/>
      <c r="U1" s="744"/>
      <c r="V1" s="744"/>
      <c r="W1" s="744"/>
      <c r="X1" s="744"/>
      <c r="Y1" s="744"/>
      <c r="Z1" s="744"/>
      <c r="AA1" s="744"/>
      <c r="AB1" s="744"/>
      <c r="AC1" s="744"/>
      <c r="AD1" s="744"/>
      <c r="AE1" s="744"/>
      <c r="AF1" s="744"/>
    </row>
    <row r="2" spans="1:37">
      <c r="A2" s="731"/>
      <c r="B2" s="732"/>
      <c r="C2" s="732"/>
      <c r="D2" s="732"/>
      <c r="E2" s="732"/>
      <c r="F2" s="733"/>
      <c r="G2" s="751" t="str">
        <f>PAVIM.!G2</f>
        <v>PREFEITURA MUNICIPAL DE MARACAJÁ</v>
      </c>
      <c r="H2" s="752"/>
      <c r="I2" s="752"/>
      <c r="J2" s="752"/>
      <c r="K2" s="752"/>
      <c r="L2" s="752"/>
      <c r="M2" s="753"/>
      <c r="N2" s="751" t="str">
        <f>PAVIM.!H2</f>
        <v>BAIRRO: ESPIGÃO GRANDE</v>
      </c>
      <c r="O2" s="752"/>
      <c r="P2" s="752"/>
      <c r="Q2" s="752"/>
      <c r="R2" s="753"/>
      <c r="S2" s="747" t="str">
        <f>PAVIM.!K2</f>
        <v>MUNICIPIO: MARACAJÁ</v>
      </c>
      <c r="T2" s="748"/>
      <c r="U2" s="748"/>
      <c r="V2" s="748"/>
      <c r="W2" s="748" t="s">
        <v>211</v>
      </c>
      <c r="X2" s="748"/>
      <c r="Y2" s="748"/>
      <c r="Z2" s="748"/>
      <c r="AA2" s="748"/>
      <c r="AB2" s="757" t="str">
        <f ca="1">PAVIM.!M3</f>
        <v>DATA: 12/08/26</v>
      </c>
      <c r="AC2" s="758"/>
      <c r="AD2" s="758"/>
      <c r="AE2" s="758"/>
      <c r="AF2" s="759"/>
    </row>
    <row r="3" spans="1:37" ht="42.75" customHeight="1">
      <c r="A3" s="734"/>
      <c r="B3" s="735"/>
      <c r="C3" s="735"/>
      <c r="D3" s="735"/>
      <c r="E3" s="735"/>
      <c r="F3" s="736"/>
      <c r="G3" s="749" t="str">
        <f>PAVIM.!G3</f>
        <v>RUA PARANÁ - TRECHO 01</v>
      </c>
      <c r="H3" s="749"/>
      <c r="I3" s="749"/>
      <c r="J3" s="749"/>
      <c r="K3" s="750"/>
      <c r="L3" s="179" t="s">
        <v>212</v>
      </c>
      <c r="M3" s="180">
        <v>5</v>
      </c>
      <c r="N3" s="181" t="s">
        <v>213</v>
      </c>
      <c r="O3" s="182" t="s">
        <v>414</v>
      </c>
      <c r="P3" s="183">
        <v>1.2999999999999999E-2</v>
      </c>
      <c r="Q3" s="184" t="s">
        <v>214</v>
      </c>
      <c r="R3" s="185">
        <v>696.47</v>
      </c>
      <c r="S3" s="179" t="s">
        <v>215</v>
      </c>
      <c r="T3" s="415">
        <v>8.9700000000000006</v>
      </c>
      <c r="U3" s="184" t="s">
        <v>216</v>
      </c>
      <c r="V3" s="186">
        <v>0.19500000000000001</v>
      </c>
      <c r="W3" s="182" t="s">
        <v>217</v>
      </c>
      <c r="X3" s="187">
        <v>0.70099999999999996</v>
      </c>
      <c r="Y3" s="240"/>
      <c r="Z3" s="188"/>
      <c r="AA3" s="745"/>
      <c r="AB3" s="745"/>
      <c r="AC3" s="746"/>
      <c r="AD3" s="746"/>
      <c r="AE3" s="746"/>
      <c r="AF3" s="188"/>
    </row>
    <row r="4" spans="1:37" ht="15.75" customHeight="1">
      <c r="A4" s="739" t="s">
        <v>218</v>
      </c>
      <c r="B4" s="739"/>
      <c r="C4" s="739"/>
      <c r="D4" s="739"/>
      <c r="E4" s="739"/>
      <c r="F4" s="739"/>
      <c r="G4" s="740" t="s">
        <v>219</v>
      </c>
      <c r="H4" s="742" t="s">
        <v>220</v>
      </c>
      <c r="I4" s="742" t="s">
        <v>221</v>
      </c>
      <c r="J4" s="742" t="s">
        <v>222</v>
      </c>
      <c r="K4" s="737" t="s">
        <v>223</v>
      </c>
      <c r="L4" s="739" t="s">
        <v>224</v>
      </c>
      <c r="M4" s="739"/>
      <c r="N4" s="739"/>
      <c r="O4" s="739" t="s">
        <v>225</v>
      </c>
      <c r="P4" s="739"/>
      <c r="Q4" s="740" t="s">
        <v>226</v>
      </c>
      <c r="R4" s="740"/>
      <c r="S4" s="739" t="s">
        <v>227</v>
      </c>
      <c r="T4" s="739"/>
      <c r="U4" s="742" t="s">
        <v>228</v>
      </c>
      <c r="V4" s="740" t="s">
        <v>229</v>
      </c>
      <c r="W4" s="740"/>
      <c r="X4" s="740" t="s">
        <v>230</v>
      </c>
      <c r="Y4" s="740"/>
      <c r="Z4" s="754" t="s">
        <v>406</v>
      </c>
      <c r="AA4" s="755"/>
      <c r="AB4" s="756"/>
      <c r="AC4" s="754" t="s">
        <v>231</v>
      </c>
      <c r="AD4" s="756"/>
      <c r="AE4" s="742" t="s">
        <v>182</v>
      </c>
      <c r="AF4" s="742" t="s">
        <v>183</v>
      </c>
      <c r="AG4" s="189"/>
      <c r="AH4" s="189"/>
    </row>
    <row r="5" spans="1:37" ht="22.5">
      <c r="A5" s="723" t="s">
        <v>39</v>
      </c>
      <c r="B5" s="723"/>
      <c r="C5" s="723"/>
      <c r="D5" s="723" t="s">
        <v>40</v>
      </c>
      <c r="E5" s="723"/>
      <c r="F5" s="723"/>
      <c r="G5" s="741"/>
      <c r="H5" s="743"/>
      <c r="I5" s="743"/>
      <c r="J5" s="743"/>
      <c r="K5" s="738"/>
      <c r="L5" s="418" t="s">
        <v>232</v>
      </c>
      <c r="M5" s="418" t="s">
        <v>233</v>
      </c>
      <c r="N5" s="418" t="s">
        <v>234</v>
      </c>
      <c r="O5" s="419" t="s">
        <v>184</v>
      </c>
      <c r="P5" s="419" t="s">
        <v>185</v>
      </c>
      <c r="Q5" s="418" t="s">
        <v>235</v>
      </c>
      <c r="R5" s="418" t="s">
        <v>236</v>
      </c>
      <c r="S5" s="418" t="s">
        <v>237</v>
      </c>
      <c r="T5" s="418" t="s">
        <v>238</v>
      </c>
      <c r="U5" s="743"/>
      <c r="V5" s="418" t="s">
        <v>239</v>
      </c>
      <c r="W5" s="418" t="s">
        <v>240</v>
      </c>
      <c r="X5" s="419" t="s">
        <v>184</v>
      </c>
      <c r="Y5" s="419" t="s">
        <v>185</v>
      </c>
      <c r="Z5" s="418" t="s">
        <v>407</v>
      </c>
      <c r="AA5" s="497" t="s">
        <v>407</v>
      </c>
      <c r="AB5" s="497" t="s">
        <v>38</v>
      </c>
      <c r="AC5" s="493" t="s">
        <v>241</v>
      </c>
      <c r="AD5" s="493" t="s">
        <v>242</v>
      </c>
      <c r="AE5" s="743"/>
      <c r="AF5" s="743"/>
    </row>
    <row r="6" spans="1:37" s="509" customFormat="1">
      <c r="A6" s="190">
        <v>26</v>
      </c>
      <c r="B6" s="190" t="s">
        <v>41</v>
      </c>
      <c r="C6" s="195">
        <v>12</v>
      </c>
      <c r="D6" s="498">
        <v>29</v>
      </c>
      <c r="E6" s="498" t="s">
        <v>41</v>
      </c>
      <c r="F6" s="499">
        <v>19</v>
      </c>
      <c r="G6" s="499">
        <f>(D6*20+F6)-(A6*20+C6)</f>
        <v>67</v>
      </c>
      <c r="H6" s="499">
        <f t="shared" ref="H6" si="0">H7+G6*60</f>
        <v>4020</v>
      </c>
      <c r="I6" s="499">
        <v>10</v>
      </c>
      <c r="J6" s="500">
        <f>($R$3*$M$3^$V$3)/(I6+$T$3)^$X$3</f>
        <v>121.13687506584991</v>
      </c>
      <c r="K6" s="501">
        <v>0.6</v>
      </c>
      <c r="L6" s="502">
        <f>K6*J6*(H6/(1000*1000)/3.6)</f>
        <v>8.1161706294119437E-2</v>
      </c>
      <c r="M6" s="501">
        <v>0</v>
      </c>
      <c r="N6" s="501">
        <f>L6-M6</f>
        <v>8.1161706294119437E-2</v>
      </c>
      <c r="O6" s="424">
        <v>15.44</v>
      </c>
      <c r="P6" s="424">
        <v>15.95</v>
      </c>
      <c r="Q6" s="503">
        <f>(O6-P6)/G6</f>
        <v>-7.6119402985074594E-3</v>
      </c>
      <c r="R6" s="504">
        <f>-(X6-Y6)/G6</f>
        <v>2.9850746268656608E-3</v>
      </c>
      <c r="S6" s="505">
        <f>1.5*(N6*$P$3/R6^0.5)^(3/8)</f>
        <v>0.34140714496957547</v>
      </c>
      <c r="T6" s="506">
        <v>600</v>
      </c>
      <c r="U6" s="507">
        <f>0.397*((T6/1000)^(2/3)*R6^0.5)/$P$3</f>
        <v>1.1869313053618133</v>
      </c>
      <c r="V6" s="507">
        <v>0.4</v>
      </c>
      <c r="W6" s="507">
        <f>P6-T6/1000-Y6</f>
        <v>1.4000000000000004</v>
      </c>
      <c r="X6" s="542">
        <v>13.75</v>
      </c>
      <c r="Y6" s="542">
        <v>13.95</v>
      </c>
      <c r="Z6" s="543">
        <f>O6-X6</f>
        <v>1.6899999999999995</v>
      </c>
      <c r="AA6" s="543">
        <f>P6-Y6</f>
        <v>2</v>
      </c>
      <c r="AB6" s="502">
        <f>+IF(T6=300,0.85,IF(T6=400,1,IF(T6=500,1.15,IF(T6=600,1.35,IF(T6=800,1.65,IF(T6=1000,2,IF(T6=1200,2.3,IF(T6=1500,2.85))))))))</f>
        <v>1.35</v>
      </c>
      <c r="AC6" s="507">
        <f>G6/(60*U6)</f>
        <v>0.94080142770037745</v>
      </c>
      <c r="AD6" s="508">
        <v>0</v>
      </c>
      <c r="AE6" s="508">
        <f>(G6*(Z6+AA6)/2*AB6)</f>
        <v>166.88024999999999</v>
      </c>
      <c r="AF6" s="508">
        <f>AE6-G6*(PI()*(IF(T6=300,0.21,IF(T6=400,0.26,IF(T6=500,0.31,IF(T6=600,0.36,IF(T6=800,0.48,IF(T6=1000,0.58,IF(T6=1200,0.68,IF(T6=1500,0.83)))))))))^2)</f>
        <v>139.60117267034911</v>
      </c>
      <c r="AH6" s="510"/>
      <c r="AI6" s="510"/>
      <c r="AJ6" s="510"/>
      <c r="AK6" s="510"/>
    </row>
    <row r="7" spans="1:37" s="509" customFormat="1">
      <c r="A7" s="498"/>
      <c r="B7" s="498"/>
      <c r="C7" s="499"/>
      <c r="D7" s="498"/>
      <c r="E7" s="511"/>
      <c r="F7" s="499"/>
      <c r="G7" s="499"/>
      <c r="H7" s="499"/>
      <c r="I7" s="499"/>
      <c r="J7" s="500"/>
      <c r="K7" s="501"/>
      <c r="L7" s="502"/>
      <c r="M7" s="501"/>
      <c r="N7" s="501"/>
      <c r="O7" s="424"/>
      <c r="P7" s="424"/>
      <c r="Q7" s="503"/>
      <c r="R7" s="504"/>
      <c r="S7" s="505"/>
      <c r="T7" s="506"/>
      <c r="U7" s="507"/>
      <c r="V7" s="507"/>
      <c r="W7" s="507"/>
      <c r="X7" s="542"/>
      <c r="Y7" s="542"/>
      <c r="Z7" s="543"/>
      <c r="AA7" s="543"/>
      <c r="AB7" s="502"/>
      <c r="AC7" s="507"/>
      <c r="AD7" s="508"/>
      <c r="AE7" s="508"/>
      <c r="AF7" s="508"/>
      <c r="AH7" s="510"/>
      <c r="AI7" s="510"/>
      <c r="AJ7" s="510"/>
      <c r="AK7" s="510"/>
    </row>
    <row r="8" spans="1:37" s="509" customFormat="1">
      <c r="A8" s="498"/>
      <c r="B8" s="498"/>
      <c r="C8" s="499"/>
      <c r="D8" s="498"/>
      <c r="E8" s="511"/>
      <c r="F8" s="499"/>
      <c r="G8" s="499"/>
      <c r="H8" s="499"/>
      <c r="I8" s="499"/>
      <c r="J8" s="500"/>
      <c r="K8" s="501"/>
      <c r="L8" s="502"/>
      <c r="M8" s="501"/>
      <c r="N8" s="501"/>
      <c r="O8" s="424"/>
      <c r="P8" s="424"/>
      <c r="Q8" s="503"/>
      <c r="R8" s="504"/>
      <c r="S8" s="505"/>
      <c r="T8" s="506"/>
      <c r="U8" s="507"/>
      <c r="V8" s="507"/>
      <c r="W8" s="507"/>
      <c r="X8" s="542"/>
      <c r="Y8" s="542"/>
      <c r="Z8" s="543"/>
      <c r="AA8" s="543"/>
      <c r="AB8" s="502"/>
      <c r="AC8" s="507"/>
      <c r="AD8" s="508"/>
      <c r="AE8" s="508"/>
      <c r="AF8" s="508"/>
      <c r="AG8" s="512"/>
      <c r="AH8" s="510"/>
      <c r="AI8" s="510"/>
      <c r="AJ8" s="510"/>
      <c r="AK8" s="510"/>
    </row>
    <row r="9" spans="1:37" s="509" customFormat="1">
      <c r="A9" s="498"/>
      <c r="B9" s="498"/>
      <c r="C9" s="499"/>
      <c r="D9" s="498"/>
      <c r="E9" s="511"/>
      <c r="F9" s="499"/>
      <c r="G9" s="499"/>
      <c r="H9" s="499"/>
      <c r="I9" s="499"/>
      <c r="J9" s="500"/>
      <c r="K9" s="501"/>
      <c r="L9" s="502"/>
      <c r="M9" s="501"/>
      <c r="N9" s="501"/>
      <c r="O9" s="424"/>
      <c r="P9" s="424"/>
      <c r="Q9" s="503"/>
      <c r="R9" s="504"/>
      <c r="S9" s="505"/>
      <c r="T9" s="506"/>
      <c r="U9" s="507"/>
      <c r="V9" s="507"/>
      <c r="W9" s="507"/>
      <c r="X9" s="542"/>
      <c r="Y9" s="542"/>
      <c r="Z9" s="543"/>
      <c r="AA9" s="543"/>
      <c r="AB9" s="502"/>
      <c r="AC9" s="507"/>
      <c r="AD9" s="508"/>
      <c r="AE9" s="508"/>
      <c r="AF9" s="508"/>
      <c r="AG9" s="512"/>
      <c r="AH9" s="510"/>
      <c r="AI9" s="510"/>
      <c r="AJ9" s="510"/>
      <c r="AK9" s="510"/>
    </row>
    <row r="10" spans="1:37" s="509" customFormat="1">
      <c r="A10" s="498"/>
      <c r="B10" s="498"/>
      <c r="C10" s="499"/>
      <c r="D10" s="498"/>
      <c r="E10" s="511"/>
      <c r="F10" s="499"/>
      <c r="G10" s="499"/>
      <c r="H10" s="499"/>
      <c r="I10" s="499"/>
      <c r="J10" s="500"/>
      <c r="K10" s="501"/>
      <c r="L10" s="502"/>
      <c r="M10" s="501"/>
      <c r="N10" s="501"/>
      <c r="O10" s="424"/>
      <c r="P10" s="424"/>
      <c r="Q10" s="503"/>
      <c r="R10" s="504"/>
      <c r="S10" s="505"/>
      <c r="T10" s="506"/>
      <c r="U10" s="507"/>
      <c r="V10" s="507"/>
      <c r="W10" s="507"/>
      <c r="X10" s="542"/>
      <c r="Y10" s="542"/>
      <c r="Z10" s="543"/>
      <c r="AA10" s="543"/>
      <c r="AB10" s="502"/>
      <c r="AC10" s="507"/>
      <c r="AD10" s="508"/>
      <c r="AE10" s="508"/>
      <c r="AF10" s="508"/>
      <c r="AG10" s="512"/>
      <c r="AH10" s="510"/>
      <c r="AI10" s="510"/>
      <c r="AJ10" s="510"/>
      <c r="AK10" s="510"/>
    </row>
    <row r="11" spans="1:37" s="509" customFormat="1">
      <c r="A11" s="498"/>
      <c r="B11" s="498"/>
      <c r="C11" s="499"/>
      <c r="D11" s="498"/>
      <c r="E11" s="511"/>
      <c r="F11" s="499"/>
      <c r="G11" s="499"/>
      <c r="H11" s="499"/>
      <c r="I11" s="499"/>
      <c r="J11" s="500"/>
      <c r="K11" s="501"/>
      <c r="L11" s="502"/>
      <c r="M11" s="501"/>
      <c r="N11" s="501"/>
      <c r="O11" s="424"/>
      <c r="P11" s="424"/>
      <c r="Q11" s="503"/>
      <c r="R11" s="504"/>
      <c r="S11" s="505"/>
      <c r="T11" s="506"/>
      <c r="U11" s="507"/>
      <c r="V11" s="507"/>
      <c r="W11" s="507"/>
      <c r="X11" s="542"/>
      <c r="Y11" s="542"/>
      <c r="Z11" s="543"/>
      <c r="AA11" s="543"/>
      <c r="AB11" s="502"/>
      <c r="AC11" s="507"/>
      <c r="AD11" s="508"/>
      <c r="AE11" s="508"/>
      <c r="AF11" s="508"/>
      <c r="AG11" s="512"/>
      <c r="AH11" s="510"/>
      <c r="AI11" s="510"/>
      <c r="AJ11" s="510"/>
      <c r="AK11" s="510"/>
    </row>
    <row r="12" spans="1:37" ht="18" customHeight="1">
      <c r="A12" s="190"/>
      <c r="B12" s="190"/>
      <c r="C12" s="191"/>
      <c r="D12" s="190"/>
      <c r="E12" s="196"/>
      <c r="F12" s="191"/>
      <c r="G12" s="420"/>
      <c r="H12" s="420"/>
      <c r="I12" s="191"/>
      <c r="J12" s="192"/>
      <c r="K12" s="193"/>
      <c r="L12" s="194"/>
      <c r="M12" s="193"/>
      <c r="N12" s="193"/>
      <c r="O12" s="424"/>
      <c r="P12" s="424"/>
      <c r="Q12" s="425"/>
      <c r="R12" s="426"/>
      <c r="S12" s="427"/>
      <c r="T12" s="428"/>
      <c r="U12" s="199"/>
      <c r="V12" s="199"/>
      <c r="W12" s="199"/>
      <c r="X12" s="199"/>
      <c r="Y12" s="199"/>
      <c r="Z12" s="429"/>
      <c r="AA12" s="429"/>
      <c r="AB12" s="429"/>
      <c r="AC12" s="199"/>
      <c r="AD12" s="195"/>
      <c r="AE12" s="195"/>
      <c r="AF12" s="195"/>
      <c r="AH12" s="417"/>
      <c r="AI12" s="417"/>
      <c r="AJ12" s="417"/>
      <c r="AK12" s="417"/>
    </row>
    <row r="13" spans="1:37">
      <c r="A13" s="725" t="s">
        <v>186</v>
      </c>
      <c r="B13" s="726"/>
      <c r="C13" s="726"/>
      <c r="D13" s="726"/>
      <c r="E13" s="726"/>
      <c r="F13" s="726"/>
      <c r="G13" s="726"/>
      <c r="H13" s="726"/>
      <c r="I13" s="726"/>
      <c r="J13" s="726"/>
      <c r="K13" s="726"/>
      <c r="L13" s="726"/>
      <c r="M13" s="726"/>
      <c r="N13" s="726"/>
      <c r="O13" s="726"/>
      <c r="P13" s="726"/>
      <c r="Q13" s="726"/>
      <c r="R13" s="726"/>
      <c r="S13" s="726"/>
      <c r="T13" s="726"/>
      <c r="U13" s="726"/>
      <c r="V13" s="726"/>
      <c r="W13" s="726"/>
      <c r="X13" s="726"/>
      <c r="Y13" s="726"/>
      <c r="Z13" s="726"/>
      <c r="AA13" s="726"/>
      <c r="AB13" s="726"/>
      <c r="AC13" s="726"/>
      <c r="AD13" s="726"/>
      <c r="AE13" s="726"/>
      <c r="AF13" s="727"/>
    </row>
    <row r="14" spans="1:37">
      <c r="A14" s="190">
        <v>15</v>
      </c>
      <c r="B14" s="190" t="str">
        <f>B6</f>
        <v>+</v>
      </c>
      <c r="C14" s="195">
        <v>6.7</v>
      </c>
      <c r="D14" s="190"/>
      <c r="E14" s="190"/>
      <c r="F14" s="195"/>
      <c r="G14" s="195">
        <v>14</v>
      </c>
      <c r="H14" s="717" t="s">
        <v>413</v>
      </c>
      <c r="I14" s="718"/>
      <c r="J14" s="718"/>
      <c r="K14" s="718"/>
      <c r="L14" s="719"/>
      <c r="M14" s="513"/>
      <c r="N14" s="514"/>
      <c r="O14" s="515"/>
      <c r="P14" s="720" t="s">
        <v>382</v>
      </c>
      <c r="Q14" s="721"/>
      <c r="R14" s="722"/>
      <c r="S14" s="516">
        <v>0</v>
      </c>
      <c r="T14" s="516">
        <v>1000</v>
      </c>
      <c r="U14" s="517"/>
      <c r="V14" s="517"/>
      <c r="W14" s="518"/>
      <c r="X14" s="518"/>
      <c r="Y14" s="519"/>
      <c r="Z14" s="517">
        <v>1</v>
      </c>
      <c r="AA14" s="517">
        <v>1</v>
      </c>
      <c r="AB14" s="502">
        <f>+IF(T14=300,0.85,IF(T14=400,1,IF(T14=500,1.15,IF(T14=600,1.35,IF(T14=800,1.65,IF(T14=1000,2,IF(T14=1200,2.3,IF(T14=1500,2.85))))))))</f>
        <v>2</v>
      </c>
      <c r="AC14" s="519"/>
      <c r="AD14" s="519"/>
      <c r="AE14" s="508">
        <f t="shared" ref="AE14:AE16" si="1">(G14*(Z14+AA14)/2*AB14)</f>
        <v>28</v>
      </c>
      <c r="AF14" s="508">
        <f t="shared" ref="AF14:AF16" si="2">AE14-G14*(PI()*(IF(T14=300,0.21,IF(T14=400,0.26,IF(T14=500,0.31,IF(T14=600,0.36,IF(T14=800,0.48,IF(T14=1000,0.58,IF(T14=1200,0.68,IF(T14=1500,0.83)))))))))^2)</f>
        <v>13.204355238653513</v>
      </c>
    </row>
    <row r="15" spans="1:37">
      <c r="A15" s="190"/>
      <c r="B15" s="190"/>
      <c r="C15" s="195"/>
      <c r="D15" s="190"/>
      <c r="E15" s="190"/>
      <c r="F15" s="195"/>
      <c r="G15" s="195"/>
      <c r="H15" s="717"/>
      <c r="I15" s="718"/>
      <c r="J15" s="718"/>
      <c r="K15" s="718"/>
      <c r="L15" s="719"/>
      <c r="M15" s="513"/>
      <c r="N15" s="514"/>
      <c r="O15" s="515"/>
      <c r="P15" s="720"/>
      <c r="Q15" s="721"/>
      <c r="R15" s="722"/>
      <c r="S15" s="516"/>
      <c r="T15" s="516"/>
      <c r="U15" s="517"/>
      <c r="V15" s="517"/>
      <c r="W15" s="518"/>
      <c r="X15" s="518"/>
      <c r="Y15" s="519"/>
      <c r="Z15" s="517"/>
      <c r="AA15" s="517"/>
      <c r="AB15" s="502"/>
      <c r="AC15" s="519"/>
      <c r="AD15" s="519"/>
      <c r="AE15" s="508"/>
      <c r="AF15" s="508"/>
    </row>
    <row r="16" spans="1:37">
      <c r="A16" s="190">
        <v>26</v>
      </c>
      <c r="B16" s="190" t="s">
        <v>41</v>
      </c>
      <c r="C16" s="195">
        <v>12</v>
      </c>
      <c r="D16" s="190"/>
      <c r="E16" s="190"/>
      <c r="F16" s="195"/>
      <c r="G16" s="195">
        <v>14</v>
      </c>
      <c r="H16" s="717" t="s">
        <v>413</v>
      </c>
      <c r="I16" s="718"/>
      <c r="J16" s="718"/>
      <c r="K16" s="718"/>
      <c r="L16" s="719"/>
      <c r="M16" s="513"/>
      <c r="N16" s="514"/>
      <c r="O16" s="515"/>
      <c r="P16" s="720" t="s">
        <v>382</v>
      </c>
      <c r="Q16" s="721"/>
      <c r="R16" s="722"/>
      <c r="S16" s="516">
        <v>0</v>
      </c>
      <c r="T16" s="516">
        <v>1000</v>
      </c>
      <c r="U16" s="517"/>
      <c r="V16" s="517"/>
      <c r="W16" s="518"/>
      <c r="X16" s="518"/>
      <c r="Y16" s="519"/>
      <c r="Z16" s="517">
        <v>1</v>
      </c>
      <c r="AA16" s="517">
        <v>1</v>
      </c>
      <c r="AB16" s="502">
        <f t="shared" ref="AB16" si="3">+IF(T16=300,0.85,IF(T16=400,1,IF(T16=500,1.15,IF(T16=600,1.35,IF(T16=800,1.65,IF(T16=1000,2,IF(T16=1200,2.3,IF(T16=1500,2.85))))))))</f>
        <v>2</v>
      </c>
      <c r="AC16" s="519"/>
      <c r="AD16" s="519"/>
      <c r="AE16" s="508">
        <f t="shared" si="1"/>
        <v>28</v>
      </c>
      <c r="AF16" s="508">
        <f t="shared" si="2"/>
        <v>13.204355238653513</v>
      </c>
    </row>
    <row r="17" spans="1:32">
      <c r="A17" s="190"/>
      <c r="B17" s="190"/>
      <c r="C17" s="195"/>
      <c r="D17" s="190"/>
      <c r="E17" s="190"/>
      <c r="F17" s="195"/>
      <c r="G17" s="195"/>
      <c r="H17" s="717"/>
      <c r="I17" s="718"/>
      <c r="J17" s="718"/>
      <c r="K17" s="718"/>
      <c r="L17" s="719"/>
      <c r="M17" s="513"/>
      <c r="N17" s="514"/>
      <c r="O17" s="515"/>
      <c r="P17" s="720"/>
      <c r="Q17" s="721"/>
      <c r="R17" s="722"/>
      <c r="S17" s="516"/>
      <c r="T17" s="516"/>
      <c r="U17" s="517"/>
      <c r="V17" s="517"/>
      <c r="W17" s="518"/>
      <c r="X17" s="518"/>
      <c r="Y17" s="519"/>
      <c r="Z17" s="517"/>
      <c r="AA17" s="517"/>
      <c r="AB17" s="502"/>
      <c r="AC17" s="519"/>
      <c r="AD17" s="519"/>
      <c r="AE17" s="508"/>
      <c r="AF17" s="508"/>
    </row>
    <row r="18" spans="1:32">
      <c r="A18" s="190"/>
      <c r="B18" s="190"/>
      <c r="C18" s="195"/>
      <c r="D18" s="190"/>
      <c r="E18" s="190"/>
      <c r="F18" s="195"/>
      <c r="G18" s="195"/>
      <c r="H18" s="717"/>
      <c r="I18" s="718"/>
      <c r="J18" s="718"/>
      <c r="K18" s="718"/>
      <c r="L18" s="719"/>
      <c r="M18" s="513"/>
      <c r="N18" s="514"/>
      <c r="O18" s="515"/>
      <c r="P18" s="720"/>
      <c r="Q18" s="721"/>
      <c r="R18" s="722"/>
      <c r="S18" s="516"/>
      <c r="T18" s="516"/>
      <c r="U18" s="517"/>
      <c r="V18" s="517"/>
      <c r="W18" s="518"/>
      <c r="X18" s="518"/>
      <c r="Y18" s="519"/>
      <c r="Z18" s="517"/>
      <c r="AA18" s="517"/>
      <c r="AB18" s="502"/>
      <c r="AC18" s="519"/>
      <c r="AD18" s="519"/>
      <c r="AE18" s="508"/>
      <c r="AF18" s="508"/>
    </row>
    <row r="19" spans="1:32">
      <c r="A19" s="190"/>
      <c r="B19" s="190"/>
      <c r="C19" s="195"/>
      <c r="D19" s="190"/>
      <c r="E19" s="190"/>
      <c r="F19" s="195"/>
      <c r="G19" s="195"/>
      <c r="H19" s="717"/>
      <c r="I19" s="718"/>
      <c r="J19" s="718"/>
      <c r="K19" s="718"/>
      <c r="L19" s="719"/>
      <c r="M19" s="513"/>
      <c r="N19" s="514"/>
      <c r="O19" s="515"/>
      <c r="P19" s="720"/>
      <c r="Q19" s="721"/>
      <c r="R19" s="722"/>
      <c r="S19" s="516"/>
      <c r="T19" s="516"/>
      <c r="U19" s="517"/>
      <c r="V19" s="517"/>
      <c r="W19" s="518"/>
      <c r="X19" s="518"/>
      <c r="Y19" s="519"/>
      <c r="Z19" s="517"/>
      <c r="AA19" s="517"/>
      <c r="AB19" s="502"/>
      <c r="AC19" s="519"/>
      <c r="AD19" s="519"/>
      <c r="AE19" s="508"/>
      <c r="AF19" s="508"/>
    </row>
    <row r="20" spans="1:32">
      <c r="A20" s="190"/>
      <c r="B20" s="190"/>
      <c r="C20" s="195"/>
      <c r="D20" s="190"/>
      <c r="E20" s="190"/>
      <c r="F20" s="195"/>
      <c r="G20" s="195"/>
      <c r="H20" s="717"/>
      <c r="I20" s="718"/>
      <c r="J20" s="718"/>
      <c r="K20" s="718"/>
      <c r="L20" s="719"/>
      <c r="M20" s="513"/>
      <c r="N20" s="514"/>
      <c r="O20" s="515"/>
      <c r="P20" s="720"/>
      <c r="Q20" s="721"/>
      <c r="R20" s="722"/>
      <c r="S20" s="516"/>
      <c r="T20" s="516"/>
      <c r="U20" s="517"/>
      <c r="V20" s="517"/>
      <c r="W20" s="518"/>
      <c r="X20" s="518"/>
      <c r="Y20" s="519"/>
      <c r="Z20" s="517"/>
      <c r="AA20" s="517"/>
      <c r="AB20" s="502"/>
      <c r="AC20" s="519"/>
      <c r="AD20" s="519"/>
      <c r="AE20" s="508"/>
      <c r="AF20" s="508"/>
    </row>
    <row r="21" spans="1:32">
      <c r="A21" s="190"/>
      <c r="B21" s="190"/>
      <c r="C21" s="195"/>
      <c r="D21" s="190"/>
      <c r="E21" s="190"/>
      <c r="F21" s="195"/>
      <c r="G21" s="195"/>
      <c r="H21" s="717"/>
      <c r="I21" s="718"/>
      <c r="J21" s="718"/>
      <c r="K21" s="718"/>
      <c r="L21" s="719"/>
      <c r="M21" s="513"/>
      <c r="N21" s="514"/>
      <c r="O21" s="515"/>
      <c r="P21" s="720"/>
      <c r="Q21" s="721"/>
      <c r="R21" s="722"/>
      <c r="S21" s="516"/>
      <c r="T21" s="516"/>
      <c r="U21" s="517"/>
      <c r="V21" s="517"/>
      <c r="W21" s="518"/>
      <c r="X21" s="518"/>
      <c r="Y21" s="519"/>
      <c r="Z21" s="517"/>
      <c r="AA21" s="517"/>
      <c r="AB21" s="502"/>
      <c r="AC21" s="519"/>
      <c r="AD21" s="519"/>
      <c r="AE21" s="508"/>
      <c r="AF21" s="508"/>
    </row>
    <row r="22" spans="1:32">
      <c r="A22" s="190"/>
      <c r="B22" s="190"/>
      <c r="C22" s="195"/>
      <c r="D22" s="190"/>
      <c r="E22" s="190"/>
      <c r="F22" s="195"/>
      <c r="G22" s="195"/>
      <c r="H22" s="717"/>
      <c r="I22" s="718"/>
      <c r="J22" s="718"/>
      <c r="K22" s="718"/>
      <c r="L22" s="719"/>
      <c r="M22" s="513"/>
      <c r="N22" s="514"/>
      <c r="O22" s="515"/>
      <c r="P22" s="720"/>
      <c r="Q22" s="721"/>
      <c r="R22" s="722"/>
      <c r="S22" s="516"/>
      <c r="T22" s="516"/>
      <c r="U22" s="517"/>
      <c r="V22" s="517"/>
      <c r="W22" s="518"/>
      <c r="X22" s="518"/>
      <c r="Y22" s="519"/>
      <c r="Z22" s="517"/>
      <c r="AA22" s="517"/>
      <c r="AB22" s="502"/>
      <c r="AC22" s="519"/>
      <c r="AD22" s="519"/>
      <c r="AE22" s="508"/>
      <c r="AF22" s="508"/>
    </row>
    <row r="23" spans="1:32">
      <c r="A23" s="190"/>
      <c r="B23" s="190"/>
      <c r="C23" s="195"/>
      <c r="D23" s="190"/>
      <c r="E23" s="190"/>
      <c r="F23" s="195"/>
      <c r="G23" s="195"/>
      <c r="H23" s="717"/>
      <c r="I23" s="718"/>
      <c r="J23" s="718"/>
      <c r="K23" s="718"/>
      <c r="L23" s="719"/>
      <c r="M23" s="513"/>
      <c r="N23" s="514"/>
      <c r="O23" s="515"/>
      <c r="P23" s="720"/>
      <c r="Q23" s="721"/>
      <c r="R23" s="722"/>
      <c r="S23" s="516"/>
      <c r="T23" s="516"/>
      <c r="U23" s="517"/>
      <c r="V23" s="517"/>
      <c r="W23" s="518"/>
      <c r="X23" s="518"/>
      <c r="Y23" s="519"/>
      <c r="Z23" s="517"/>
      <c r="AA23" s="517"/>
      <c r="AB23" s="502"/>
      <c r="AC23" s="519"/>
      <c r="AD23" s="519"/>
      <c r="AE23" s="508"/>
      <c r="AF23" s="508"/>
    </row>
    <row r="24" spans="1:32">
      <c r="A24" s="190"/>
      <c r="B24" s="190"/>
      <c r="C24" s="195"/>
      <c r="D24" s="190"/>
      <c r="E24" s="190"/>
      <c r="F24" s="195"/>
      <c r="G24" s="195"/>
      <c r="H24" s="717"/>
      <c r="I24" s="718"/>
      <c r="J24" s="718"/>
      <c r="K24" s="718"/>
      <c r="L24" s="719"/>
      <c r="M24" s="513"/>
      <c r="N24" s="514"/>
      <c r="O24" s="515"/>
      <c r="P24" s="720"/>
      <c r="Q24" s="721"/>
      <c r="R24" s="722"/>
      <c r="S24" s="516"/>
      <c r="T24" s="516"/>
      <c r="U24" s="517"/>
      <c r="V24" s="517"/>
      <c r="W24" s="518"/>
      <c r="X24" s="518"/>
      <c r="Y24" s="519"/>
      <c r="Z24" s="517"/>
      <c r="AA24" s="517"/>
      <c r="AB24" s="502"/>
      <c r="AC24" s="519"/>
      <c r="AD24" s="519"/>
      <c r="AE24" s="508"/>
      <c r="AF24" s="508"/>
    </row>
    <row r="25" spans="1:32">
      <c r="A25" s="452"/>
      <c r="B25" s="452"/>
      <c r="C25" s="453"/>
      <c r="D25" s="210"/>
      <c r="E25" s="210"/>
      <c r="F25" s="210"/>
      <c r="G25" s="454"/>
      <c r="H25" s="451"/>
      <c r="I25" s="451"/>
      <c r="J25" s="451"/>
      <c r="K25" s="451"/>
      <c r="L25" s="211"/>
      <c r="M25" s="213"/>
      <c r="N25" s="214"/>
      <c r="O25" s="215"/>
      <c r="P25" s="216"/>
      <c r="Q25" s="216"/>
      <c r="R25" s="216"/>
      <c r="S25" s="217"/>
      <c r="T25" s="217"/>
      <c r="U25" s="218"/>
      <c r="V25" s="218"/>
      <c r="W25" s="219"/>
      <c r="X25" s="219"/>
      <c r="Y25" s="220"/>
      <c r="Z25" s="218"/>
      <c r="AA25" s="218"/>
      <c r="AB25" s="218"/>
      <c r="AC25" s="220"/>
      <c r="AD25" s="220"/>
      <c r="AE25" s="221"/>
      <c r="AF25" s="221"/>
    </row>
    <row r="26" spans="1:32">
      <c r="H26" s="724" t="s">
        <v>187</v>
      </c>
      <c r="I26" s="724"/>
      <c r="J26" s="236" t="s">
        <v>188</v>
      </c>
      <c r="K26" s="28" t="s">
        <v>189</v>
      </c>
    </row>
    <row r="27" spans="1:32">
      <c r="H27" s="197" t="s">
        <v>190</v>
      </c>
      <c r="I27" s="421">
        <v>600</v>
      </c>
      <c r="J27" s="198">
        <f>SUMIF(T:T,I27,G:G)</f>
        <v>67</v>
      </c>
      <c r="K27" s="496" t="s">
        <v>12</v>
      </c>
    </row>
    <row r="28" spans="1:32">
      <c r="H28" s="197" t="s">
        <v>190</v>
      </c>
      <c r="I28" s="421">
        <v>1000</v>
      </c>
      <c r="J28" s="198">
        <f>SUMIF(T:T,I28,G:G)</f>
        <v>28</v>
      </c>
      <c r="K28" s="535" t="s">
        <v>12</v>
      </c>
    </row>
    <row r="29" spans="1:32">
      <c r="H29" s="724" t="s">
        <v>191</v>
      </c>
      <c r="I29" s="724"/>
      <c r="J29" s="198">
        <f>TRUNC(SUM(AE6:AE85),2)</f>
        <v>222.88</v>
      </c>
      <c r="K29" s="236" t="s">
        <v>11</v>
      </c>
    </row>
    <row r="30" spans="1:32">
      <c r="H30" s="724" t="s">
        <v>192</v>
      </c>
      <c r="I30" s="724"/>
      <c r="J30" s="198">
        <f>TRUNC(SUM(AF6:AF85),2)</f>
        <v>166</v>
      </c>
      <c r="K30" s="236" t="s">
        <v>11</v>
      </c>
    </row>
  </sheetData>
  <sheetProtection selectLockedCells="1"/>
  <mergeCells count="54">
    <mergeCell ref="G2:M2"/>
    <mergeCell ref="Z4:AB4"/>
    <mergeCell ref="Q4:R4"/>
    <mergeCell ref="AF4:AF5"/>
    <mergeCell ref="AC4:AD4"/>
    <mergeCell ref="AE4:AE5"/>
    <mergeCell ref="V4:W4"/>
    <mergeCell ref="X4:Y4"/>
    <mergeCell ref="S4:T4"/>
    <mergeCell ref="U4:U5"/>
    <mergeCell ref="AB2:AF2"/>
    <mergeCell ref="A1:F3"/>
    <mergeCell ref="K4:K5"/>
    <mergeCell ref="O4:P4"/>
    <mergeCell ref="A4:F4"/>
    <mergeCell ref="G4:G5"/>
    <mergeCell ref="H4:H5"/>
    <mergeCell ref="I4:I5"/>
    <mergeCell ref="J4:J5"/>
    <mergeCell ref="L4:N4"/>
    <mergeCell ref="A5:C5"/>
    <mergeCell ref="G1:AF1"/>
    <mergeCell ref="AA3:AE3"/>
    <mergeCell ref="S2:V2"/>
    <mergeCell ref="W2:AA2"/>
    <mergeCell ref="G3:K3"/>
    <mergeCell ref="N2:R2"/>
    <mergeCell ref="D5:F5"/>
    <mergeCell ref="H14:L14"/>
    <mergeCell ref="P14:R14"/>
    <mergeCell ref="H30:I30"/>
    <mergeCell ref="H26:I26"/>
    <mergeCell ref="A13:AF13"/>
    <mergeCell ref="H29:I29"/>
    <mergeCell ref="H20:L20"/>
    <mergeCell ref="P20:R20"/>
    <mergeCell ref="H22:L22"/>
    <mergeCell ref="P24:R24"/>
    <mergeCell ref="P22:R22"/>
    <mergeCell ref="H23:L23"/>
    <mergeCell ref="P15:R15"/>
    <mergeCell ref="P23:R23"/>
    <mergeCell ref="H24:L24"/>
    <mergeCell ref="H21:L21"/>
    <mergeCell ref="P21:R21"/>
    <mergeCell ref="H18:L18"/>
    <mergeCell ref="P18:R18"/>
    <mergeCell ref="H19:L19"/>
    <mergeCell ref="P19:R19"/>
    <mergeCell ref="H15:L15"/>
    <mergeCell ref="P17:R17"/>
    <mergeCell ref="P16:R16"/>
    <mergeCell ref="H17:L17"/>
    <mergeCell ref="H16:L16"/>
  </mergeCells>
  <printOptions horizontalCentered="1"/>
  <pageMargins left="0.39370078740157483" right="0.39370078740157483" top="0.39370078740157483" bottom="0.59055118110236227" header="0.19685039370078741" footer="0.19685039370078741"/>
  <pageSetup paperSize="9" scale="60" fitToHeight="0" orientation="landscape" r:id="rId1"/>
  <headerFooter alignWithMargins="0">
    <oddFooter>&amp;CEng° Darcio Pagani Vieira
Crea/SC - 077.222-9</oddFooter>
  </headerFooter>
  <ignoredErrors>
    <ignoredError sqref="AE14:AF16" unlocked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view="pageBreakPreview" zoomScale="130" zoomScaleSheetLayoutView="130" workbookViewId="0">
      <pane ySplit="3" topLeftCell="A4" activePane="bottomLeft" state="frozen"/>
      <selection activeCell="C19" sqref="C19"/>
      <selection pane="bottomLeft" activeCell="C19" sqref="C19"/>
    </sheetView>
  </sheetViews>
  <sheetFormatPr defaultRowHeight="12.75"/>
  <cols>
    <col min="1" max="1" width="2.7109375" style="25" customWidth="1"/>
    <col min="2" max="2" width="1.5703125" style="25" bestFit="1" customWidth="1"/>
    <col min="3" max="3" width="4.85546875" style="25" bestFit="1" customWidth="1"/>
    <col min="4" max="4" width="3.7109375" style="25" bestFit="1" customWidth="1"/>
    <col min="5" max="5" width="1.7109375" style="25" bestFit="1" customWidth="1"/>
    <col min="6" max="6" width="5.85546875" style="25" bestFit="1" customWidth="1"/>
    <col min="7" max="7" width="33.140625" style="25" bestFit="1" customWidth="1"/>
    <col min="8" max="8" width="4.7109375" style="25" bestFit="1" customWidth="1"/>
    <col min="9" max="9" width="11.5703125" style="25" bestFit="1" customWidth="1"/>
    <col min="10" max="10" width="7.7109375" style="25" bestFit="1" customWidth="1"/>
    <col min="11" max="11" width="6.5703125" style="25" bestFit="1" customWidth="1"/>
    <col min="12" max="12" width="9.5703125" style="25" bestFit="1" customWidth="1"/>
    <col min="13" max="13" width="23.140625" style="25" bestFit="1" customWidth="1"/>
    <col min="14" max="14" width="9.140625" style="25"/>
    <col min="15" max="15" width="15" style="406" bestFit="1" customWidth="1"/>
    <col min="16" max="16" width="15" style="25" bestFit="1" customWidth="1"/>
    <col min="17" max="17" width="13.5703125" style="25" bestFit="1" customWidth="1"/>
    <col min="18" max="258" width="9.140625" style="25"/>
    <col min="259" max="264" width="5.5703125" style="25" customWidth="1"/>
    <col min="265" max="265" width="12.7109375" style="25" customWidth="1"/>
    <col min="266" max="266" width="15.42578125" style="25" bestFit="1" customWidth="1"/>
    <col min="267" max="269" width="12.7109375" style="25" customWidth="1"/>
    <col min="270" max="514" width="9.140625" style="25"/>
    <col min="515" max="520" width="5.5703125" style="25" customWidth="1"/>
    <col min="521" max="521" width="12.7109375" style="25" customWidth="1"/>
    <col min="522" max="522" width="15.42578125" style="25" bestFit="1" customWidth="1"/>
    <col min="523" max="525" width="12.7109375" style="25" customWidth="1"/>
    <col min="526" max="770" width="9.140625" style="25"/>
    <col min="771" max="776" width="5.5703125" style="25" customWidth="1"/>
    <col min="777" max="777" width="12.7109375" style="25" customWidth="1"/>
    <col min="778" max="778" width="15.42578125" style="25" bestFit="1" customWidth="1"/>
    <col min="779" max="781" width="12.7109375" style="25" customWidth="1"/>
    <col min="782" max="1026" width="9.140625" style="25"/>
    <col min="1027" max="1032" width="5.5703125" style="25" customWidth="1"/>
    <col min="1033" max="1033" width="12.7109375" style="25" customWidth="1"/>
    <col min="1034" max="1034" width="15.42578125" style="25" bestFit="1" customWidth="1"/>
    <col min="1035" max="1037" width="12.7109375" style="25" customWidth="1"/>
    <col min="1038" max="1282" width="9.140625" style="25"/>
    <col min="1283" max="1288" width="5.5703125" style="25" customWidth="1"/>
    <col min="1289" max="1289" width="12.7109375" style="25" customWidth="1"/>
    <col min="1290" max="1290" width="15.42578125" style="25" bestFit="1" customWidth="1"/>
    <col min="1291" max="1293" width="12.7109375" style="25" customWidth="1"/>
    <col min="1294" max="1538" width="9.140625" style="25"/>
    <col min="1539" max="1544" width="5.5703125" style="25" customWidth="1"/>
    <col min="1545" max="1545" width="12.7109375" style="25" customWidth="1"/>
    <col min="1546" max="1546" width="15.42578125" style="25" bestFit="1" customWidth="1"/>
    <col min="1547" max="1549" width="12.7109375" style="25" customWidth="1"/>
    <col min="1550" max="1794" width="9.140625" style="25"/>
    <col min="1795" max="1800" width="5.5703125" style="25" customWidth="1"/>
    <col min="1801" max="1801" width="12.7109375" style="25" customWidth="1"/>
    <col min="1802" max="1802" width="15.42578125" style="25" bestFit="1" customWidth="1"/>
    <col min="1803" max="1805" width="12.7109375" style="25" customWidth="1"/>
    <col min="1806" max="2050" width="9.140625" style="25"/>
    <col min="2051" max="2056" width="5.5703125" style="25" customWidth="1"/>
    <col min="2057" max="2057" width="12.7109375" style="25" customWidth="1"/>
    <col min="2058" max="2058" width="15.42578125" style="25" bestFit="1" customWidth="1"/>
    <col min="2059" max="2061" width="12.7109375" style="25" customWidth="1"/>
    <col min="2062" max="2306" width="9.140625" style="25"/>
    <col min="2307" max="2312" width="5.5703125" style="25" customWidth="1"/>
    <col min="2313" max="2313" width="12.7109375" style="25" customWidth="1"/>
    <col min="2314" max="2314" width="15.42578125" style="25" bestFit="1" customWidth="1"/>
    <col min="2315" max="2317" width="12.7109375" style="25" customWidth="1"/>
    <col min="2318" max="2562" width="9.140625" style="25"/>
    <col min="2563" max="2568" width="5.5703125" style="25" customWidth="1"/>
    <col min="2569" max="2569" width="12.7109375" style="25" customWidth="1"/>
    <col min="2570" max="2570" width="15.42578125" style="25" bestFit="1" customWidth="1"/>
    <col min="2571" max="2573" width="12.7109375" style="25" customWidth="1"/>
    <col min="2574" max="2818" width="9.140625" style="25"/>
    <col min="2819" max="2824" width="5.5703125" style="25" customWidth="1"/>
    <col min="2825" max="2825" width="12.7109375" style="25" customWidth="1"/>
    <col min="2826" max="2826" width="15.42578125" style="25" bestFit="1" customWidth="1"/>
    <col min="2827" max="2829" width="12.7109375" style="25" customWidth="1"/>
    <col min="2830" max="3074" width="9.140625" style="25"/>
    <col min="3075" max="3080" width="5.5703125" style="25" customWidth="1"/>
    <col min="3081" max="3081" width="12.7109375" style="25" customWidth="1"/>
    <col min="3082" max="3082" width="15.42578125" style="25" bestFit="1" customWidth="1"/>
    <col min="3083" max="3085" width="12.7109375" style="25" customWidth="1"/>
    <col min="3086" max="3330" width="9.140625" style="25"/>
    <col min="3331" max="3336" width="5.5703125" style="25" customWidth="1"/>
    <col min="3337" max="3337" width="12.7109375" style="25" customWidth="1"/>
    <col min="3338" max="3338" width="15.42578125" style="25" bestFit="1" customWidth="1"/>
    <col min="3339" max="3341" width="12.7109375" style="25" customWidth="1"/>
    <col min="3342" max="3586" width="9.140625" style="25"/>
    <col min="3587" max="3592" width="5.5703125" style="25" customWidth="1"/>
    <col min="3593" max="3593" width="12.7109375" style="25" customWidth="1"/>
    <col min="3594" max="3594" width="15.42578125" style="25" bestFit="1" customWidth="1"/>
    <col min="3595" max="3597" width="12.7109375" style="25" customWidth="1"/>
    <col min="3598" max="3842" width="9.140625" style="25"/>
    <col min="3843" max="3848" width="5.5703125" style="25" customWidth="1"/>
    <col min="3849" max="3849" width="12.7109375" style="25" customWidth="1"/>
    <col min="3850" max="3850" width="15.42578125" style="25" bestFit="1" customWidth="1"/>
    <col min="3851" max="3853" width="12.7109375" style="25" customWidth="1"/>
    <col min="3854" max="4098" width="9.140625" style="25"/>
    <col min="4099" max="4104" width="5.5703125" style="25" customWidth="1"/>
    <col min="4105" max="4105" width="12.7109375" style="25" customWidth="1"/>
    <col min="4106" max="4106" width="15.42578125" style="25" bestFit="1" customWidth="1"/>
    <col min="4107" max="4109" width="12.7109375" style="25" customWidth="1"/>
    <col min="4110" max="4354" width="9.140625" style="25"/>
    <col min="4355" max="4360" width="5.5703125" style="25" customWidth="1"/>
    <col min="4361" max="4361" width="12.7109375" style="25" customWidth="1"/>
    <col min="4362" max="4362" width="15.42578125" style="25" bestFit="1" customWidth="1"/>
    <col min="4363" max="4365" width="12.7109375" style="25" customWidth="1"/>
    <col min="4366" max="4610" width="9.140625" style="25"/>
    <col min="4611" max="4616" width="5.5703125" style="25" customWidth="1"/>
    <col min="4617" max="4617" width="12.7109375" style="25" customWidth="1"/>
    <col min="4618" max="4618" width="15.42578125" style="25" bestFit="1" customWidth="1"/>
    <col min="4619" max="4621" width="12.7109375" style="25" customWidth="1"/>
    <col min="4622" max="4866" width="9.140625" style="25"/>
    <col min="4867" max="4872" width="5.5703125" style="25" customWidth="1"/>
    <col min="4873" max="4873" width="12.7109375" style="25" customWidth="1"/>
    <col min="4874" max="4874" width="15.42578125" style="25" bestFit="1" customWidth="1"/>
    <col min="4875" max="4877" width="12.7109375" style="25" customWidth="1"/>
    <col min="4878" max="5122" width="9.140625" style="25"/>
    <col min="5123" max="5128" width="5.5703125" style="25" customWidth="1"/>
    <col min="5129" max="5129" width="12.7109375" style="25" customWidth="1"/>
    <col min="5130" max="5130" width="15.42578125" style="25" bestFit="1" customWidth="1"/>
    <col min="5131" max="5133" width="12.7109375" style="25" customWidth="1"/>
    <col min="5134" max="5378" width="9.140625" style="25"/>
    <col min="5379" max="5384" width="5.5703125" style="25" customWidth="1"/>
    <col min="5385" max="5385" width="12.7109375" style="25" customWidth="1"/>
    <col min="5386" max="5386" width="15.42578125" style="25" bestFit="1" customWidth="1"/>
    <col min="5387" max="5389" width="12.7109375" style="25" customWidth="1"/>
    <col min="5390" max="5634" width="9.140625" style="25"/>
    <col min="5635" max="5640" width="5.5703125" style="25" customWidth="1"/>
    <col min="5641" max="5641" width="12.7109375" style="25" customWidth="1"/>
    <col min="5642" max="5642" width="15.42578125" style="25" bestFit="1" customWidth="1"/>
    <col min="5643" max="5645" width="12.7109375" style="25" customWidth="1"/>
    <col min="5646" max="5890" width="9.140625" style="25"/>
    <col min="5891" max="5896" width="5.5703125" style="25" customWidth="1"/>
    <col min="5897" max="5897" width="12.7109375" style="25" customWidth="1"/>
    <col min="5898" max="5898" width="15.42578125" style="25" bestFit="1" customWidth="1"/>
    <col min="5899" max="5901" width="12.7109375" style="25" customWidth="1"/>
    <col min="5902" max="6146" width="9.140625" style="25"/>
    <col min="6147" max="6152" width="5.5703125" style="25" customWidth="1"/>
    <col min="6153" max="6153" width="12.7109375" style="25" customWidth="1"/>
    <col min="6154" max="6154" width="15.42578125" style="25" bestFit="1" customWidth="1"/>
    <col min="6155" max="6157" width="12.7109375" style="25" customWidth="1"/>
    <col min="6158" max="6402" width="9.140625" style="25"/>
    <col min="6403" max="6408" width="5.5703125" style="25" customWidth="1"/>
    <col min="6409" max="6409" width="12.7109375" style="25" customWidth="1"/>
    <col min="6410" max="6410" width="15.42578125" style="25" bestFit="1" customWidth="1"/>
    <col min="6411" max="6413" width="12.7109375" style="25" customWidth="1"/>
    <col min="6414" max="6658" width="9.140625" style="25"/>
    <col min="6659" max="6664" width="5.5703125" style="25" customWidth="1"/>
    <col min="6665" max="6665" width="12.7109375" style="25" customWidth="1"/>
    <col min="6666" max="6666" width="15.42578125" style="25" bestFit="1" customWidth="1"/>
    <col min="6667" max="6669" width="12.7109375" style="25" customWidth="1"/>
    <col min="6670" max="6914" width="9.140625" style="25"/>
    <col min="6915" max="6920" width="5.5703125" style="25" customWidth="1"/>
    <col min="6921" max="6921" width="12.7109375" style="25" customWidth="1"/>
    <col min="6922" max="6922" width="15.42578125" style="25" bestFit="1" customWidth="1"/>
    <col min="6923" max="6925" width="12.7109375" style="25" customWidth="1"/>
    <col min="6926" max="7170" width="9.140625" style="25"/>
    <col min="7171" max="7176" width="5.5703125" style="25" customWidth="1"/>
    <col min="7177" max="7177" width="12.7109375" style="25" customWidth="1"/>
    <col min="7178" max="7178" width="15.42578125" style="25" bestFit="1" customWidth="1"/>
    <col min="7179" max="7181" width="12.7109375" style="25" customWidth="1"/>
    <col min="7182" max="7426" width="9.140625" style="25"/>
    <col min="7427" max="7432" width="5.5703125" style="25" customWidth="1"/>
    <col min="7433" max="7433" width="12.7109375" style="25" customWidth="1"/>
    <col min="7434" max="7434" width="15.42578125" style="25" bestFit="1" customWidth="1"/>
    <col min="7435" max="7437" width="12.7109375" style="25" customWidth="1"/>
    <col min="7438" max="7682" width="9.140625" style="25"/>
    <col min="7683" max="7688" width="5.5703125" style="25" customWidth="1"/>
    <col min="7689" max="7689" width="12.7109375" style="25" customWidth="1"/>
    <col min="7690" max="7690" width="15.42578125" style="25" bestFit="1" customWidth="1"/>
    <col min="7691" max="7693" width="12.7109375" style="25" customWidth="1"/>
    <col min="7694" max="7938" width="9.140625" style="25"/>
    <col min="7939" max="7944" width="5.5703125" style="25" customWidth="1"/>
    <col min="7945" max="7945" width="12.7109375" style="25" customWidth="1"/>
    <col min="7946" max="7946" width="15.42578125" style="25" bestFit="1" customWidth="1"/>
    <col min="7947" max="7949" width="12.7109375" style="25" customWidth="1"/>
    <col min="7950" max="8194" width="9.140625" style="25"/>
    <col min="8195" max="8200" width="5.5703125" style="25" customWidth="1"/>
    <col min="8201" max="8201" width="12.7109375" style="25" customWidth="1"/>
    <col min="8202" max="8202" width="15.42578125" style="25" bestFit="1" customWidth="1"/>
    <col min="8203" max="8205" width="12.7109375" style="25" customWidth="1"/>
    <col min="8206" max="8450" width="9.140625" style="25"/>
    <col min="8451" max="8456" width="5.5703125" style="25" customWidth="1"/>
    <col min="8457" max="8457" width="12.7109375" style="25" customWidth="1"/>
    <col min="8458" max="8458" width="15.42578125" style="25" bestFit="1" customWidth="1"/>
    <col min="8459" max="8461" width="12.7109375" style="25" customWidth="1"/>
    <col min="8462" max="8706" width="9.140625" style="25"/>
    <col min="8707" max="8712" width="5.5703125" style="25" customWidth="1"/>
    <col min="8713" max="8713" width="12.7109375" style="25" customWidth="1"/>
    <col min="8714" max="8714" width="15.42578125" style="25" bestFit="1" customWidth="1"/>
    <col min="8715" max="8717" width="12.7109375" style="25" customWidth="1"/>
    <col min="8718" max="8962" width="9.140625" style="25"/>
    <col min="8963" max="8968" width="5.5703125" style="25" customWidth="1"/>
    <col min="8969" max="8969" width="12.7109375" style="25" customWidth="1"/>
    <col min="8970" max="8970" width="15.42578125" style="25" bestFit="1" customWidth="1"/>
    <col min="8971" max="8973" width="12.7109375" style="25" customWidth="1"/>
    <col min="8974" max="9218" width="9.140625" style="25"/>
    <col min="9219" max="9224" width="5.5703125" style="25" customWidth="1"/>
    <col min="9225" max="9225" width="12.7109375" style="25" customWidth="1"/>
    <col min="9226" max="9226" width="15.42578125" style="25" bestFit="1" customWidth="1"/>
    <col min="9227" max="9229" width="12.7109375" style="25" customWidth="1"/>
    <col min="9230" max="9474" width="9.140625" style="25"/>
    <col min="9475" max="9480" width="5.5703125" style="25" customWidth="1"/>
    <col min="9481" max="9481" width="12.7109375" style="25" customWidth="1"/>
    <col min="9482" max="9482" width="15.42578125" style="25" bestFit="1" customWidth="1"/>
    <col min="9483" max="9485" width="12.7109375" style="25" customWidth="1"/>
    <col min="9486" max="9730" width="9.140625" style="25"/>
    <col min="9731" max="9736" width="5.5703125" style="25" customWidth="1"/>
    <col min="9737" max="9737" width="12.7109375" style="25" customWidth="1"/>
    <col min="9738" max="9738" width="15.42578125" style="25" bestFit="1" customWidth="1"/>
    <col min="9739" max="9741" width="12.7109375" style="25" customWidth="1"/>
    <col min="9742" max="9986" width="9.140625" style="25"/>
    <col min="9987" max="9992" width="5.5703125" style="25" customWidth="1"/>
    <col min="9993" max="9993" width="12.7109375" style="25" customWidth="1"/>
    <col min="9994" max="9994" width="15.42578125" style="25" bestFit="1" customWidth="1"/>
    <col min="9995" max="9997" width="12.7109375" style="25" customWidth="1"/>
    <col min="9998" max="10242" width="9.140625" style="25"/>
    <col min="10243" max="10248" width="5.5703125" style="25" customWidth="1"/>
    <col min="10249" max="10249" width="12.7109375" style="25" customWidth="1"/>
    <col min="10250" max="10250" width="15.42578125" style="25" bestFit="1" customWidth="1"/>
    <col min="10251" max="10253" width="12.7109375" style="25" customWidth="1"/>
    <col min="10254" max="10498" width="9.140625" style="25"/>
    <col min="10499" max="10504" width="5.5703125" style="25" customWidth="1"/>
    <col min="10505" max="10505" width="12.7109375" style="25" customWidth="1"/>
    <col min="10506" max="10506" width="15.42578125" style="25" bestFit="1" customWidth="1"/>
    <col min="10507" max="10509" width="12.7109375" style="25" customWidth="1"/>
    <col min="10510" max="10754" width="9.140625" style="25"/>
    <col min="10755" max="10760" width="5.5703125" style="25" customWidth="1"/>
    <col min="10761" max="10761" width="12.7109375" style="25" customWidth="1"/>
    <col min="10762" max="10762" width="15.42578125" style="25" bestFit="1" customWidth="1"/>
    <col min="10763" max="10765" width="12.7109375" style="25" customWidth="1"/>
    <col min="10766" max="11010" width="9.140625" style="25"/>
    <col min="11011" max="11016" width="5.5703125" style="25" customWidth="1"/>
    <col min="11017" max="11017" width="12.7109375" style="25" customWidth="1"/>
    <col min="11018" max="11018" width="15.42578125" style="25" bestFit="1" customWidth="1"/>
    <col min="11019" max="11021" width="12.7109375" style="25" customWidth="1"/>
    <col min="11022" max="11266" width="9.140625" style="25"/>
    <col min="11267" max="11272" width="5.5703125" style="25" customWidth="1"/>
    <col min="11273" max="11273" width="12.7109375" style="25" customWidth="1"/>
    <col min="11274" max="11274" width="15.42578125" style="25" bestFit="1" customWidth="1"/>
    <col min="11275" max="11277" width="12.7109375" style="25" customWidth="1"/>
    <col min="11278" max="11522" width="9.140625" style="25"/>
    <col min="11523" max="11528" width="5.5703125" style="25" customWidth="1"/>
    <col min="11529" max="11529" width="12.7109375" style="25" customWidth="1"/>
    <col min="11530" max="11530" width="15.42578125" style="25" bestFit="1" customWidth="1"/>
    <col min="11531" max="11533" width="12.7109375" style="25" customWidth="1"/>
    <col min="11534" max="11778" width="9.140625" style="25"/>
    <col min="11779" max="11784" width="5.5703125" style="25" customWidth="1"/>
    <col min="11785" max="11785" width="12.7109375" style="25" customWidth="1"/>
    <col min="11786" max="11786" width="15.42578125" style="25" bestFit="1" customWidth="1"/>
    <col min="11787" max="11789" width="12.7109375" style="25" customWidth="1"/>
    <col min="11790" max="12034" width="9.140625" style="25"/>
    <col min="12035" max="12040" width="5.5703125" style="25" customWidth="1"/>
    <col min="12041" max="12041" width="12.7109375" style="25" customWidth="1"/>
    <col min="12042" max="12042" width="15.42578125" style="25" bestFit="1" customWidth="1"/>
    <col min="12043" max="12045" width="12.7109375" style="25" customWidth="1"/>
    <col min="12046" max="12290" width="9.140625" style="25"/>
    <col min="12291" max="12296" width="5.5703125" style="25" customWidth="1"/>
    <col min="12297" max="12297" width="12.7109375" style="25" customWidth="1"/>
    <col min="12298" max="12298" width="15.42578125" style="25" bestFit="1" customWidth="1"/>
    <col min="12299" max="12301" width="12.7109375" style="25" customWidth="1"/>
    <col min="12302" max="12546" width="9.140625" style="25"/>
    <col min="12547" max="12552" width="5.5703125" style="25" customWidth="1"/>
    <col min="12553" max="12553" width="12.7109375" style="25" customWidth="1"/>
    <col min="12554" max="12554" width="15.42578125" style="25" bestFit="1" customWidth="1"/>
    <col min="12555" max="12557" width="12.7109375" style="25" customWidth="1"/>
    <col min="12558" max="12802" width="9.140625" style="25"/>
    <col min="12803" max="12808" width="5.5703125" style="25" customWidth="1"/>
    <col min="12809" max="12809" width="12.7109375" style="25" customWidth="1"/>
    <col min="12810" max="12810" width="15.42578125" style="25" bestFit="1" customWidth="1"/>
    <col min="12811" max="12813" width="12.7109375" style="25" customWidth="1"/>
    <col min="12814" max="13058" width="9.140625" style="25"/>
    <col min="13059" max="13064" width="5.5703125" style="25" customWidth="1"/>
    <col min="13065" max="13065" width="12.7109375" style="25" customWidth="1"/>
    <col min="13066" max="13066" width="15.42578125" style="25" bestFit="1" customWidth="1"/>
    <col min="13067" max="13069" width="12.7109375" style="25" customWidth="1"/>
    <col min="13070" max="13314" width="9.140625" style="25"/>
    <col min="13315" max="13320" width="5.5703125" style="25" customWidth="1"/>
    <col min="13321" max="13321" width="12.7109375" style="25" customWidth="1"/>
    <col min="13322" max="13322" width="15.42578125" style="25" bestFit="1" customWidth="1"/>
    <col min="13323" max="13325" width="12.7109375" style="25" customWidth="1"/>
    <col min="13326" max="13570" width="9.140625" style="25"/>
    <col min="13571" max="13576" width="5.5703125" style="25" customWidth="1"/>
    <col min="13577" max="13577" width="12.7109375" style="25" customWidth="1"/>
    <col min="13578" max="13578" width="15.42578125" style="25" bestFit="1" customWidth="1"/>
    <col min="13579" max="13581" width="12.7109375" style="25" customWidth="1"/>
    <col min="13582" max="13826" width="9.140625" style="25"/>
    <col min="13827" max="13832" width="5.5703125" style="25" customWidth="1"/>
    <col min="13833" max="13833" width="12.7109375" style="25" customWidth="1"/>
    <col min="13834" max="13834" width="15.42578125" style="25" bestFit="1" customWidth="1"/>
    <col min="13835" max="13837" width="12.7109375" style="25" customWidth="1"/>
    <col min="13838" max="14082" width="9.140625" style="25"/>
    <col min="14083" max="14088" width="5.5703125" style="25" customWidth="1"/>
    <col min="14089" max="14089" width="12.7109375" style="25" customWidth="1"/>
    <col min="14090" max="14090" width="15.42578125" style="25" bestFit="1" customWidth="1"/>
    <col min="14091" max="14093" width="12.7109375" style="25" customWidth="1"/>
    <col min="14094" max="14338" width="9.140625" style="25"/>
    <col min="14339" max="14344" width="5.5703125" style="25" customWidth="1"/>
    <col min="14345" max="14345" width="12.7109375" style="25" customWidth="1"/>
    <col min="14346" max="14346" width="15.42578125" style="25" bestFit="1" customWidth="1"/>
    <col min="14347" max="14349" width="12.7109375" style="25" customWidth="1"/>
    <col min="14350" max="14594" width="9.140625" style="25"/>
    <col min="14595" max="14600" width="5.5703125" style="25" customWidth="1"/>
    <col min="14601" max="14601" width="12.7109375" style="25" customWidth="1"/>
    <col min="14602" max="14602" width="15.42578125" style="25" bestFit="1" customWidth="1"/>
    <col min="14603" max="14605" width="12.7109375" style="25" customWidth="1"/>
    <col min="14606" max="14850" width="9.140625" style="25"/>
    <col min="14851" max="14856" width="5.5703125" style="25" customWidth="1"/>
    <col min="14857" max="14857" width="12.7109375" style="25" customWidth="1"/>
    <col min="14858" max="14858" width="15.42578125" style="25" bestFit="1" customWidth="1"/>
    <col min="14859" max="14861" width="12.7109375" style="25" customWidth="1"/>
    <col min="14862" max="15106" width="9.140625" style="25"/>
    <col min="15107" max="15112" width="5.5703125" style="25" customWidth="1"/>
    <col min="15113" max="15113" width="12.7109375" style="25" customWidth="1"/>
    <col min="15114" max="15114" width="15.42578125" style="25" bestFit="1" customWidth="1"/>
    <col min="15115" max="15117" width="12.7109375" style="25" customWidth="1"/>
    <col min="15118" max="15362" width="9.140625" style="25"/>
    <col min="15363" max="15368" width="5.5703125" style="25" customWidth="1"/>
    <col min="15369" max="15369" width="12.7109375" style="25" customWidth="1"/>
    <col min="15370" max="15370" width="15.42578125" style="25" bestFit="1" customWidth="1"/>
    <col min="15371" max="15373" width="12.7109375" style="25" customWidth="1"/>
    <col min="15374" max="15618" width="9.140625" style="25"/>
    <col min="15619" max="15624" width="5.5703125" style="25" customWidth="1"/>
    <col min="15625" max="15625" width="12.7109375" style="25" customWidth="1"/>
    <col min="15626" max="15626" width="15.42578125" style="25" bestFit="1" customWidth="1"/>
    <col min="15627" max="15629" width="12.7109375" style="25" customWidth="1"/>
    <col min="15630" max="15874" width="9.140625" style="25"/>
    <col min="15875" max="15880" width="5.5703125" style="25" customWidth="1"/>
    <col min="15881" max="15881" width="12.7109375" style="25" customWidth="1"/>
    <col min="15882" max="15882" width="15.42578125" style="25" bestFit="1" customWidth="1"/>
    <col min="15883" max="15885" width="12.7109375" style="25" customWidth="1"/>
    <col min="15886" max="16130" width="9.140625" style="25"/>
    <col min="16131" max="16136" width="5.5703125" style="25" customWidth="1"/>
    <col min="16137" max="16137" width="12.7109375" style="25" customWidth="1"/>
    <col min="16138" max="16138" width="15.42578125" style="25" bestFit="1" customWidth="1"/>
    <col min="16139" max="16141" width="12.7109375" style="25" customWidth="1"/>
    <col min="16142" max="16384" width="9.140625" style="25"/>
  </cols>
  <sheetData>
    <row r="1" spans="1:17" ht="39" customHeight="1">
      <c r="A1" s="765" t="e">
        <f>ORÇAMENTO!#REF!</f>
        <v>#REF!</v>
      </c>
      <c r="B1" s="765"/>
      <c r="C1" s="765"/>
      <c r="D1" s="765"/>
      <c r="E1" s="765"/>
      <c r="F1" s="765"/>
      <c r="G1" s="683" t="s">
        <v>264</v>
      </c>
      <c r="H1" s="683"/>
      <c r="I1" s="683"/>
      <c r="J1" s="683"/>
      <c r="K1" s="683"/>
      <c r="L1" s="683"/>
      <c r="M1" s="683"/>
    </row>
    <row r="2" spans="1:17" ht="12.75" customHeight="1">
      <c r="A2" s="765"/>
      <c r="B2" s="765"/>
      <c r="C2" s="765"/>
      <c r="D2" s="765"/>
      <c r="E2" s="765"/>
      <c r="F2" s="765"/>
      <c r="G2" s="551" t="s">
        <v>13</v>
      </c>
      <c r="H2" s="767" t="s">
        <v>422</v>
      </c>
      <c r="I2" s="768"/>
      <c r="J2" s="769"/>
      <c r="K2" s="766" t="s">
        <v>113</v>
      </c>
      <c r="L2" s="766"/>
      <c r="M2" s="537" t="s">
        <v>211</v>
      </c>
    </row>
    <row r="3" spans="1:17" ht="12" customHeight="1">
      <c r="A3" s="765"/>
      <c r="B3" s="765"/>
      <c r="C3" s="765"/>
      <c r="D3" s="765"/>
      <c r="E3" s="765"/>
      <c r="F3" s="765"/>
      <c r="G3" s="765" t="s">
        <v>428</v>
      </c>
      <c r="H3" s="765"/>
      <c r="I3" s="765"/>
      <c r="J3" s="765"/>
      <c r="K3" s="765"/>
      <c r="L3" s="765"/>
      <c r="M3" s="244" t="str">
        <f ca="1">CONCATENATE("DATA:"," ",TEXT(TODAY(),"DD/MM/AA"))</f>
        <v>DATA: 12/08/26</v>
      </c>
    </row>
    <row r="4" spans="1:17" ht="12" customHeight="1">
      <c r="A4" s="245"/>
      <c r="B4" s="63"/>
      <c r="C4" s="63"/>
      <c r="D4" s="63"/>
      <c r="E4" s="63"/>
      <c r="F4" s="63"/>
      <c r="G4" s="63"/>
      <c r="H4" s="63"/>
      <c r="I4" s="63"/>
      <c r="J4" s="26"/>
      <c r="K4" s="26"/>
      <c r="L4" s="26"/>
      <c r="M4" s="246"/>
    </row>
    <row r="5" spans="1:17" ht="12" customHeight="1">
      <c r="A5" s="763" t="s">
        <v>117</v>
      </c>
      <c r="B5" s="763"/>
      <c r="C5" s="763"/>
      <c r="D5" s="763"/>
      <c r="E5" s="763"/>
      <c r="F5" s="763"/>
      <c r="G5" s="763"/>
      <c r="H5" s="763"/>
      <c r="I5" s="763"/>
      <c r="J5" s="763"/>
      <c r="K5" s="763"/>
      <c r="L5" s="763"/>
      <c r="M5" s="763"/>
      <c r="O5" s="407"/>
      <c r="P5" s="171"/>
      <c r="Q5" s="171"/>
    </row>
    <row r="6" spans="1:17" ht="12" customHeight="1">
      <c r="A6" s="763" t="s">
        <v>39</v>
      </c>
      <c r="B6" s="763"/>
      <c r="C6" s="763"/>
      <c r="D6" s="763" t="s">
        <v>40</v>
      </c>
      <c r="E6" s="763"/>
      <c r="F6" s="763"/>
      <c r="G6" s="237" t="s">
        <v>47</v>
      </c>
      <c r="H6" s="237" t="s">
        <v>99</v>
      </c>
      <c r="I6" s="237" t="s">
        <v>42</v>
      </c>
      <c r="J6" s="237" t="s">
        <v>38</v>
      </c>
      <c r="K6" s="237" t="s">
        <v>220</v>
      </c>
      <c r="L6" s="237" t="s">
        <v>118</v>
      </c>
      <c r="M6" s="237" t="s">
        <v>122</v>
      </c>
      <c r="N6" s="171"/>
      <c r="O6" s="407"/>
      <c r="P6" s="171"/>
      <c r="Q6" s="171"/>
    </row>
    <row r="7" spans="1:17" s="27" customFormat="1" ht="12" customHeight="1">
      <c r="A7" s="212">
        <v>0</v>
      </c>
      <c r="B7" s="212" t="s">
        <v>41</v>
      </c>
      <c r="C7" s="535">
        <v>0</v>
      </c>
      <c r="D7" s="212">
        <v>1</v>
      </c>
      <c r="E7" s="212" t="s">
        <v>41</v>
      </c>
      <c r="F7" s="535">
        <v>10</v>
      </c>
      <c r="G7" s="535" t="s">
        <v>415</v>
      </c>
      <c r="H7" s="535" t="s">
        <v>43</v>
      </c>
      <c r="I7" s="72" t="s">
        <v>35</v>
      </c>
      <c r="J7" s="535" t="s">
        <v>35</v>
      </c>
      <c r="K7" s="72">
        <v>197.02</v>
      </c>
      <c r="L7" s="535" t="s">
        <v>35</v>
      </c>
      <c r="M7" s="198">
        <f>K7</f>
        <v>197.02</v>
      </c>
      <c r="N7" s="172"/>
      <c r="O7" s="408"/>
      <c r="P7" s="172"/>
      <c r="Q7" s="172"/>
    </row>
    <row r="8" spans="1:17" s="27" customFormat="1" ht="12" customHeight="1">
      <c r="A8" s="212">
        <v>1</v>
      </c>
      <c r="B8" s="212" t="s">
        <v>41</v>
      </c>
      <c r="C8" s="496">
        <v>0</v>
      </c>
      <c r="D8" s="212">
        <v>30</v>
      </c>
      <c r="E8" s="212" t="s">
        <v>41</v>
      </c>
      <c r="F8" s="496">
        <v>0</v>
      </c>
      <c r="G8" s="496" t="s">
        <v>413</v>
      </c>
      <c r="H8" s="496" t="s">
        <v>43</v>
      </c>
      <c r="I8" s="72">
        <f>(D8*20+F8)-(A8*20+C8)</f>
        <v>580</v>
      </c>
      <c r="J8" s="535">
        <v>8.1999999999999993</v>
      </c>
      <c r="K8" s="72">
        <f>TRUNC(I8*J8,2)</f>
        <v>4756</v>
      </c>
      <c r="L8" s="496" t="s">
        <v>35</v>
      </c>
      <c r="M8" s="198">
        <f t="shared" ref="M8" si="0">K8</f>
        <v>4756</v>
      </c>
      <c r="N8" s="172"/>
      <c r="O8" s="408"/>
      <c r="P8" s="172"/>
      <c r="Q8" s="172"/>
    </row>
    <row r="9" spans="1:17" s="27" customFormat="1" ht="12" customHeight="1">
      <c r="A9" s="212">
        <v>21</v>
      </c>
      <c r="B9" s="212" t="s">
        <v>41</v>
      </c>
      <c r="C9" s="496">
        <v>3</v>
      </c>
      <c r="D9" s="212">
        <v>21</v>
      </c>
      <c r="E9" s="212" t="s">
        <v>41</v>
      </c>
      <c r="F9" s="496">
        <v>10.7</v>
      </c>
      <c r="G9" s="535" t="s">
        <v>416</v>
      </c>
      <c r="H9" s="496" t="s">
        <v>97</v>
      </c>
      <c r="I9" s="72" t="s">
        <v>35</v>
      </c>
      <c r="J9" s="535" t="s">
        <v>35</v>
      </c>
      <c r="K9" s="72">
        <v>91.56</v>
      </c>
      <c r="L9" s="496" t="s">
        <v>35</v>
      </c>
      <c r="M9" s="198">
        <f t="shared" ref="M9:M10" si="1">K9</f>
        <v>91.56</v>
      </c>
      <c r="N9" s="172"/>
      <c r="O9" s="408"/>
      <c r="P9" s="172"/>
      <c r="Q9" s="172"/>
    </row>
    <row r="10" spans="1:17" ht="12" customHeight="1">
      <c r="A10" s="459">
        <v>29</v>
      </c>
      <c r="B10" s="459" t="s">
        <v>41</v>
      </c>
      <c r="C10" s="460">
        <v>10</v>
      </c>
      <c r="D10" s="459">
        <v>29</v>
      </c>
      <c r="E10" s="459" t="s">
        <v>41</v>
      </c>
      <c r="F10" s="460">
        <v>19</v>
      </c>
      <c r="G10" s="460" t="s">
        <v>417</v>
      </c>
      <c r="H10" s="460" t="s">
        <v>97</v>
      </c>
      <c r="I10" s="461" t="s">
        <v>35</v>
      </c>
      <c r="J10" s="460" t="s">
        <v>35</v>
      </c>
      <c r="K10" s="461">
        <v>102.3</v>
      </c>
      <c r="L10" s="460" t="s">
        <v>35</v>
      </c>
      <c r="M10" s="558">
        <f t="shared" si="1"/>
        <v>102.3</v>
      </c>
      <c r="N10" s="171"/>
      <c r="O10" s="408"/>
      <c r="P10" s="171"/>
      <c r="Q10" s="171"/>
    </row>
    <row r="11" spans="1:17" s="27" customFormat="1" ht="12" customHeight="1">
      <c r="A11" s="760" t="s">
        <v>15</v>
      </c>
      <c r="B11" s="760"/>
      <c r="C11" s="760"/>
      <c r="D11" s="760"/>
      <c r="E11" s="760"/>
      <c r="F11" s="760"/>
      <c r="G11" s="760"/>
      <c r="H11" s="760"/>
      <c r="I11" s="760"/>
      <c r="J11" s="760"/>
      <c r="K11" s="760"/>
      <c r="L11" s="760"/>
      <c r="M11" s="198">
        <f>SUM(M7:M10)</f>
        <v>5146.880000000001</v>
      </c>
      <c r="N11" s="559"/>
      <c r="O11" s="408"/>
      <c r="P11" s="172"/>
      <c r="Q11" s="172"/>
    </row>
    <row r="12" spans="1:17" s="27" customFormat="1" ht="12" customHeight="1">
      <c r="A12" s="247"/>
      <c r="B12" s="210"/>
      <c r="C12" s="211"/>
      <c r="D12" s="210"/>
      <c r="E12" s="210"/>
      <c r="F12" s="211"/>
      <c r="G12" s="211"/>
      <c r="H12" s="211"/>
      <c r="I12" s="211"/>
      <c r="J12" s="211"/>
      <c r="K12" s="211"/>
      <c r="L12" s="211"/>
      <c r="M12" s="248"/>
      <c r="O12" s="409"/>
    </row>
    <row r="13" spans="1:17" s="27" customFormat="1" ht="12" customHeight="1">
      <c r="A13" s="763" t="s">
        <v>397</v>
      </c>
      <c r="B13" s="763"/>
      <c r="C13" s="763"/>
      <c r="D13" s="763"/>
      <c r="E13" s="763"/>
      <c r="F13" s="763"/>
      <c r="G13" s="763"/>
      <c r="H13" s="763"/>
      <c r="I13" s="763"/>
      <c r="J13" s="763"/>
      <c r="K13" s="763"/>
      <c r="L13" s="763"/>
      <c r="M13" s="763"/>
      <c r="O13" s="409"/>
    </row>
    <row r="14" spans="1:17" s="27" customFormat="1" ht="12" customHeight="1">
      <c r="A14" s="763" t="s">
        <v>39</v>
      </c>
      <c r="B14" s="763"/>
      <c r="C14" s="763"/>
      <c r="D14" s="763" t="s">
        <v>40</v>
      </c>
      <c r="E14" s="763"/>
      <c r="F14" s="763"/>
      <c r="G14" s="469" t="s">
        <v>47</v>
      </c>
      <c r="H14" s="469" t="s">
        <v>99</v>
      </c>
      <c r="I14" s="469" t="s">
        <v>42</v>
      </c>
      <c r="J14" s="469" t="s">
        <v>38</v>
      </c>
      <c r="K14" s="469" t="s">
        <v>220</v>
      </c>
      <c r="L14" s="469" t="s">
        <v>118</v>
      </c>
      <c r="M14" s="469" t="s">
        <v>121</v>
      </c>
      <c r="O14" s="409"/>
    </row>
    <row r="15" spans="1:17" s="27" customFormat="1" ht="12" customHeight="1">
      <c r="A15" s="212">
        <f t="shared" ref="A15:H18" si="2">A7</f>
        <v>0</v>
      </c>
      <c r="B15" s="212" t="str">
        <f t="shared" si="2"/>
        <v>+</v>
      </c>
      <c r="C15" s="535">
        <f t="shared" si="2"/>
        <v>0</v>
      </c>
      <c r="D15" s="212">
        <f t="shared" si="2"/>
        <v>1</v>
      </c>
      <c r="E15" s="212" t="str">
        <f t="shared" si="2"/>
        <v>+</v>
      </c>
      <c r="F15" s="535">
        <f t="shared" si="2"/>
        <v>10</v>
      </c>
      <c r="G15" s="535" t="str">
        <f t="shared" si="2"/>
        <v>ACESSO Á RUA PARANÁ</v>
      </c>
      <c r="H15" s="535" t="str">
        <f t="shared" si="2"/>
        <v>LE/LD</v>
      </c>
      <c r="I15" s="72" t="s">
        <v>35</v>
      </c>
      <c r="J15" s="535" t="s">
        <v>35</v>
      </c>
      <c r="K15" s="72">
        <f>K7</f>
        <v>197.02</v>
      </c>
      <c r="L15" s="535">
        <v>0.2</v>
      </c>
      <c r="M15" s="198">
        <f t="shared" ref="M15" si="3">TRUNC(K15*L15,2)</f>
        <v>39.4</v>
      </c>
      <c r="O15" s="409"/>
    </row>
    <row r="16" spans="1:17" s="27" customFormat="1" ht="12" customHeight="1">
      <c r="A16" s="212">
        <f t="shared" si="2"/>
        <v>1</v>
      </c>
      <c r="B16" s="212" t="str">
        <f t="shared" si="2"/>
        <v>+</v>
      </c>
      <c r="C16" s="496">
        <f t="shared" si="2"/>
        <v>0</v>
      </c>
      <c r="D16" s="212">
        <f t="shared" si="2"/>
        <v>30</v>
      </c>
      <c r="E16" s="212" t="str">
        <f t="shared" si="2"/>
        <v>+</v>
      </c>
      <c r="F16" s="496">
        <f t="shared" si="2"/>
        <v>0</v>
      </c>
      <c r="G16" s="496" t="str">
        <f t="shared" si="2"/>
        <v>RUA PARANÁ</v>
      </c>
      <c r="H16" s="496" t="str">
        <f t="shared" si="2"/>
        <v>LE/LD</v>
      </c>
      <c r="I16" s="72">
        <f>(D16*20+F16)-(A16*20+C16)</f>
        <v>580</v>
      </c>
      <c r="J16" s="535">
        <f>J8</f>
        <v>8.1999999999999993</v>
      </c>
      <c r="K16" s="72">
        <f>TRUNC(I16*J16,2)</f>
        <v>4756</v>
      </c>
      <c r="L16" s="496">
        <v>0.2</v>
      </c>
      <c r="M16" s="198">
        <f t="shared" ref="M16" si="4">TRUNC(K16*L16,2)</f>
        <v>951.2</v>
      </c>
      <c r="O16" s="409"/>
    </row>
    <row r="17" spans="1:15" s="27" customFormat="1" ht="12" customHeight="1">
      <c r="A17" s="212">
        <f t="shared" si="2"/>
        <v>21</v>
      </c>
      <c r="B17" s="212" t="str">
        <f t="shared" si="2"/>
        <v>+</v>
      </c>
      <c r="C17" s="468">
        <f t="shared" si="2"/>
        <v>3</v>
      </c>
      <c r="D17" s="212">
        <f t="shared" si="2"/>
        <v>21</v>
      </c>
      <c r="E17" s="212" t="str">
        <f t="shared" si="2"/>
        <v>+</v>
      </c>
      <c r="F17" s="468">
        <f t="shared" si="2"/>
        <v>10.7</v>
      </c>
      <c r="G17" s="468" t="str">
        <f t="shared" si="2"/>
        <v>LIMPA RODAS - RUA 168</v>
      </c>
      <c r="H17" s="468" t="str">
        <f t="shared" si="2"/>
        <v>LE</v>
      </c>
      <c r="I17" s="72" t="s">
        <v>35</v>
      </c>
      <c r="J17" s="535" t="s">
        <v>35</v>
      </c>
      <c r="K17" s="72">
        <f>K9</f>
        <v>91.56</v>
      </c>
      <c r="L17" s="472">
        <v>0.2</v>
      </c>
      <c r="M17" s="198">
        <f>TRUNC(K17*L17,2)</f>
        <v>18.309999999999999</v>
      </c>
      <c r="O17" s="409"/>
    </row>
    <row r="18" spans="1:15" s="27" customFormat="1" ht="12" customHeight="1">
      <c r="A18" s="212">
        <f t="shared" si="2"/>
        <v>29</v>
      </c>
      <c r="B18" s="212" t="str">
        <f t="shared" si="2"/>
        <v>+</v>
      </c>
      <c r="C18" s="556">
        <f t="shared" si="2"/>
        <v>10</v>
      </c>
      <c r="D18" s="212">
        <f t="shared" si="2"/>
        <v>29</v>
      </c>
      <c r="E18" s="212" t="str">
        <f t="shared" si="2"/>
        <v>+</v>
      </c>
      <c r="F18" s="556">
        <f t="shared" si="2"/>
        <v>19</v>
      </c>
      <c r="G18" s="556" t="str">
        <f t="shared" si="2"/>
        <v>LIMPA RODAS - RUA 213</v>
      </c>
      <c r="H18" s="556" t="str">
        <f t="shared" si="2"/>
        <v>LE</v>
      </c>
      <c r="I18" s="72" t="s">
        <v>35</v>
      </c>
      <c r="J18" s="556" t="s">
        <v>35</v>
      </c>
      <c r="K18" s="72">
        <f>K10</f>
        <v>102.3</v>
      </c>
      <c r="L18" s="556">
        <v>0.2</v>
      </c>
      <c r="M18" s="198">
        <f>TRUNC(K18*L18,2)</f>
        <v>20.46</v>
      </c>
      <c r="O18" s="409"/>
    </row>
    <row r="19" spans="1:15" s="27" customFormat="1" ht="12" customHeight="1">
      <c r="A19" s="764" t="s">
        <v>15</v>
      </c>
      <c r="B19" s="764"/>
      <c r="C19" s="764"/>
      <c r="D19" s="764"/>
      <c r="E19" s="764"/>
      <c r="F19" s="764"/>
      <c r="G19" s="764"/>
      <c r="H19" s="764"/>
      <c r="I19" s="764"/>
      <c r="J19" s="764"/>
      <c r="K19" s="764"/>
      <c r="L19" s="764"/>
      <c r="M19" s="198">
        <f>SUM(M15:M18)</f>
        <v>1029.3699999999999</v>
      </c>
      <c r="O19" s="409"/>
    </row>
    <row r="20" spans="1:15" s="27" customFormat="1" ht="12" customHeight="1">
      <c r="A20" s="247"/>
      <c r="B20" s="210"/>
      <c r="C20" s="211"/>
      <c r="D20" s="210"/>
      <c r="E20" s="210"/>
      <c r="F20" s="211"/>
      <c r="G20" s="211"/>
      <c r="H20" s="211"/>
      <c r="I20" s="211"/>
      <c r="J20" s="211"/>
      <c r="K20" s="211"/>
      <c r="L20" s="211"/>
      <c r="M20" s="248"/>
      <c r="O20" s="409"/>
    </row>
    <row r="21" spans="1:15" s="27" customFormat="1" ht="12" customHeight="1">
      <c r="A21" s="763" t="s">
        <v>165</v>
      </c>
      <c r="B21" s="763"/>
      <c r="C21" s="763"/>
      <c r="D21" s="763"/>
      <c r="E21" s="763"/>
      <c r="F21" s="763"/>
      <c r="G21" s="763"/>
      <c r="H21" s="763"/>
      <c r="I21" s="763"/>
      <c r="J21" s="763"/>
      <c r="K21" s="763"/>
      <c r="L21" s="763"/>
      <c r="M21" s="763"/>
      <c r="O21" s="409"/>
    </row>
    <row r="22" spans="1:15" s="27" customFormat="1" ht="12" customHeight="1">
      <c r="A22" s="763" t="s">
        <v>39</v>
      </c>
      <c r="B22" s="763"/>
      <c r="C22" s="763"/>
      <c r="D22" s="763" t="s">
        <v>40</v>
      </c>
      <c r="E22" s="763"/>
      <c r="F22" s="763"/>
      <c r="G22" s="469" t="s">
        <v>47</v>
      </c>
      <c r="H22" s="469" t="s">
        <v>99</v>
      </c>
      <c r="I22" s="237" t="s">
        <v>42</v>
      </c>
      <c r="J22" s="237" t="s">
        <v>38</v>
      </c>
      <c r="K22" s="237" t="s">
        <v>220</v>
      </c>
      <c r="L22" s="237" t="s">
        <v>118</v>
      </c>
      <c r="M22" s="237" t="s">
        <v>121</v>
      </c>
      <c r="O22" s="409"/>
    </row>
    <row r="23" spans="1:15" s="27" customFormat="1" ht="12" customHeight="1">
      <c r="A23" s="212">
        <f t="shared" ref="A23:H26" si="5">A15</f>
        <v>0</v>
      </c>
      <c r="B23" s="212" t="str">
        <f t="shared" si="5"/>
        <v>+</v>
      </c>
      <c r="C23" s="535">
        <f t="shared" si="5"/>
        <v>0</v>
      </c>
      <c r="D23" s="212">
        <f t="shared" si="5"/>
        <v>1</v>
      </c>
      <c r="E23" s="212" t="str">
        <f t="shared" si="5"/>
        <v>+</v>
      </c>
      <c r="F23" s="535">
        <f t="shared" si="5"/>
        <v>10</v>
      </c>
      <c r="G23" s="535" t="str">
        <f t="shared" si="5"/>
        <v>ACESSO Á RUA PARANÁ</v>
      </c>
      <c r="H23" s="535" t="str">
        <f t="shared" si="5"/>
        <v>LE/LD</v>
      </c>
      <c r="I23" s="72" t="s">
        <v>35</v>
      </c>
      <c r="J23" s="535" t="s">
        <v>35</v>
      </c>
      <c r="K23" s="72">
        <f>K15</f>
        <v>197.02</v>
      </c>
      <c r="L23" s="535">
        <v>0.15</v>
      </c>
      <c r="M23" s="198">
        <f t="shared" ref="M23" si="6">TRUNC(K23*L23,2)</f>
        <v>29.55</v>
      </c>
      <c r="O23" s="409"/>
    </row>
    <row r="24" spans="1:15" s="27" customFormat="1" ht="12" customHeight="1">
      <c r="A24" s="212">
        <f t="shared" si="5"/>
        <v>1</v>
      </c>
      <c r="B24" s="212" t="str">
        <f t="shared" si="5"/>
        <v>+</v>
      </c>
      <c r="C24" s="496">
        <f t="shared" si="5"/>
        <v>0</v>
      </c>
      <c r="D24" s="212">
        <f t="shared" si="5"/>
        <v>30</v>
      </c>
      <c r="E24" s="212" t="str">
        <f t="shared" si="5"/>
        <v>+</v>
      </c>
      <c r="F24" s="496">
        <f t="shared" si="5"/>
        <v>0</v>
      </c>
      <c r="G24" s="496" t="str">
        <f t="shared" si="5"/>
        <v>RUA PARANÁ</v>
      </c>
      <c r="H24" s="496" t="str">
        <f t="shared" si="5"/>
        <v>LE/LD</v>
      </c>
      <c r="I24" s="72">
        <f>(D24*20+F24)-(A24*20+C24)</f>
        <v>580</v>
      </c>
      <c r="J24" s="535">
        <v>7.85</v>
      </c>
      <c r="K24" s="72">
        <f>TRUNC(I24*J24,2)</f>
        <v>4553</v>
      </c>
      <c r="L24" s="496">
        <v>0.15</v>
      </c>
      <c r="M24" s="198">
        <f t="shared" ref="M24" si="7">TRUNC(K24*L24,2)</f>
        <v>682.95</v>
      </c>
      <c r="O24" s="409"/>
    </row>
    <row r="25" spans="1:15" s="27" customFormat="1" ht="12" customHeight="1">
      <c r="A25" s="212">
        <f t="shared" si="5"/>
        <v>21</v>
      </c>
      <c r="B25" s="212" t="str">
        <f t="shared" si="5"/>
        <v>+</v>
      </c>
      <c r="C25" s="468">
        <f t="shared" si="5"/>
        <v>3</v>
      </c>
      <c r="D25" s="212">
        <f t="shared" si="5"/>
        <v>21</v>
      </c>
      <c r="E25" s="212" t="str">
        <f t="shared" si="5"/>
        <v>+</v>
      </c>
      <c r="F25" s="468">
        <f t="shared" si="5"/>
        <v>10.7</v>
      </c>
      <c r="G25" s="468" t="str">
        <f t="shared" si="5"/>
        <v>LIMPA RODAS - RUA 168</v>
      </c>
      <c r="H25" s="468" t="str">
        <f t="shared" si="5"/>
        <v>LE</v>
      </c>
      <c r="I25" s="72" t="s">
        <v>35</v>
      </c>
      <c r="J25" s="535" t="s">
        <v>35</v>
      </c>
      <c r="K25" s="72">
        <f>K17</f>
        <v>91.56</v>
      </c>
      <c r="L25" s="468">
        <v>0.15</v>
      </c>
      <c r="M25" s="198">
        <f>TRUNC(K25*L25,2)</f>
        <v>13.73</v>
      </c>
      <c r="O25" s="409"/>
    </row>
    <row r="26" spans="1:15" s="27" customFormat="1" ht="12" customHeight="1">
      <c r="A26" s="212">
        <f t="shared" si="5"/>
        <v>29</v>
      </c>
      <c r="B26" s="212" t="str">
        <f t="shared" si="5"/>
        <v>+</v>
      </c>
      <c r="C26" s="556">
        <f t="shared" si="5"/>
        <v>10</v>
      </c>
      <c r="D26" s="212">
        <f t="shared" si="5"/>
        <v>29</v>
      </c>
      <c r="E26" s="212" t="str">
        <f t="shared" si="5"/>
        <v>+</v>
      </c>
      <c r="F26" s="556">
        <f t="shared" si="5"/>
        <v>19</v>
      </c>
      <c r="G26" s="556" t="str">
        <f t="shared" si="5"/>
        <v>LIMPA RODAS - RUA 213</v>
      </c>
      <c r="H26" s="556" t="str">
        <f t="shared" si="5"/>
        <v>LE</v>
      </c>
      <c r="I26" s="72" t="s">
        <v>35</v>
      </c>
      <c r="J26" s="556" t="s">
        <v>35</v>
      </c>
      <c r="K26" s="72">
        <f>K18</f>
        <v>102.3</v>
      </c>
      <c r="L26" s="556">
        <v>0.15</v>
      </c>
      <c r="M26" s="198">
        <f>TRUNC(K26*L26,2)</f>
        <v>15.34</v>
      </c>
      <c r="O26" s="409"/>
    </row>
    <row r="27" spans="1:15" s="27" customFormat="1" ht="12" customHeight="1">
      <c r="A27" s="764" t="s">
        <v>15</v>
      </c>
      <c r="B27" s="764"/>
      <c r="C27" s="764"/>
      <c r="D27" s="764"/>
      <c r="E27" s="764"/>
      <c r="F27" s="764"/>
      <c r="G27" s="764"/>
      <c r="H27" s="764"/>
      <c r="I27" s="764"/>
      <c r="J27" s="764"/>
      <c r="K27" s="764"/>
      <c r="L27" s="764"/>
      <c r="M27" s="198">
        <f>SUM(M23:M26)</f>
        <v>741.57</v>
      </c>
      <c r="O27" s="409"/>
    </row>
    <row r="28" spans="1:15" s="27" customFormat="1" ht="12" customHeight="1">
      <c r="A28" s="247"/>
      <c r="B28" s="210"/>
      <c r="C28" s="211"/>
      <c r="D28" s="210"/>
      <c r="E28" s="210"/>
      <c r="F28" s="211"/>
      <c r="G28" s="211"/>
      <c r="H28" s="211"/>
      <c r="I28" s="211"/>
      <c r="J28" s="211"/>
      <c r="K28" s="211"/>
      <c r="L28" s="211"/>
      <c r="M28" s="248"/>
      <c r="O28" s="409"/>
    </row>
    <row r="29" spans="1:15" s="27" customFormat="1" ht="12" customHeight="1">
      <c r="A29" s="763" t="s">
        <v>119</v>
      </c>
      <c r="B29" s="763"/>
      <c r="C29" s="763"/>
      <c r="D29" s="763"/>
      <c r="E29" s="763"/>
      <c r="F29" s="763"/>
      <c r="G29" s="763"/>
      <c r="H29" s="763"/>
      <c r="I29" s="763"/>
      <c r="J29" s="763"/>
      <c r="K29" s="763"/>
      <c r="L29" s="763"/>
      <c r="M29" s="763"/>
      <c r="O29" s="409"/>
    </row>
    <row r="30" spans="1:15" s="27" customFormat="1" ht="12" customHeight="1">
      <c r="A30" s="763" t="s">
        <v>39</v>
      </c>
      <c r="B30" s="763"/>
      <c r="C30" s="763"/>
      <c r="D30" s="763" t="s">
        <v>40</v>
      </c>
      <c r="E30" s="763"/>
      <c r="F30" s="763"/>
      <c r="G30" s="469" t="s">
        <v>47</v>
      </c>
      <c r="H30" s="469" t="s">
        <v>99</v>
      </c>
      <c r="I30" s="237" t="s">
        <v>42</v>
      </c>
      <c r="J30" s="237" t="s">
        <v>38</v>
      </c>
      <c r="K30" s="237" t="s">
        <v>220</v>
      </c>
      <c r="L30" s="237" t="s">
        <v>118</v>
      </c>
      <c r="M30" s="237" t="s">
        <v>122</v>
      </c>
      <c r="O30" s="409"/>
    </row>
    <row r="31" spans="1:15" s="27" customFormat="1" ht="12" customHeight="1">
      <c r="A31" s="212">
        <f t="shared" ref="A31:H32" si="8">A23</f>
        <v>0</v>
      </c>
      <c r="B31" s="212" t="str">
        <f t="shared" si="8"/>
        <v>+</v>
      </c>
      <c r="C31" s="535">
        <f t="shared" si="8"/>
        <v>0</v>
      </c>
      <c r="D31" s="212">
        <f t="shared" si="8"/>
        <v>1</v>
      </c>
      <c r="E31" s="212" t="str">
        <f t="shared" si="8"/>
        <v>+</v>
      </c>
      <c r="F31" s="535">
        <f t="shared" si="8"/>
        <v>10</v>
      </c>
      <c r="G31" s="535" t="str">
        <f t="shared" si="8"/>
        <v>ACESSO Á RUA PARANÁ</v>
      </c>
      <c r="H31" s="535" t="str">
        <f t="shared" si="8"/>
        <v>LE/LD</v>
      </c>
      <c r="I31" s="72" t="s">
        <v>35</v>
      </c>
      <c r="J31" s="535" t="s">
        <v>35</v>
      </c>
      <c r="K31" s="72">
        <f>K23</f>
        <v>197.02</v>
      </c>
      <c r="L31" s="72" t="s">
        <v>35</v>
      </c>
      <c r="M31" s="198">
        <f t="shared" ref="M31" si="9">K31</f>
        <v>197.02</v>
      </c>
      <c r="O31" s="409"/>
    </row>
    <row r="32" spans="1:15" s="27" customFormat="1" ht="12" customHeight="1">
      <c r="A32" s="212">
        <f t="shared" si="8"/>
        <v>1</v>
      </c>
      <c r="B32" s="212" t="str">
        <f t="shared" si="8"/>
        <v>+</v>
      </c>
      <c r="C32" s="496">
        <f t="shared" si="8"/>
        <v>0</v>
      </c>
      <c r="D32" s="212">
        <f t="shared" si="8"/>
        <v>30</v>
      </c>
      <c r="E32" s="212" t="str">
        <f t="shared" si="8"/>
        <v>+</v>
      </c>
      <c r="F32" s="496">
        <f t="shared" si="8"/>
        <v>0</v>
      </c>
      <c r="G32" s="496" t="str">
        <f t="shared" si="8"/>
        <v>RUA PARANÁ</v>
      </c>
      <c r="H32" s="496" t="str">
        <f t="shared" si="8"/>
        <v>LE/LD</v>
      </c>
      <c r="I32" s="72">
        <f>(D32*20+F32)-(A32*20+C32)</f>
        <v>580</v>
      </c>
      <c r="J32" s="535">
        <v>7.7</v>
      </c>
      <c r="K32" s="72">
        <f>TRUNC(I32*J32,2)</f>
        <v>4466</v>
      </c>
      <c r="L32" s="72" t="s">
        <v>35</v>
      </c>
      <c r="M32" s="198">
        <f t="shared" ref="M32" si="10">K32</f>
        <v>4466</v>
      </c>
      <c r="O32" s="409"/>
    </row>
    <row r="33" spans="1:15" s="27" customFormat="1" ht="12" customHeight="1">
      <c r="A33" s="212">
        <v>20</v>
      </c>
      <c r="B33" s="212" t="s">
        <v>41</v>
      </c>
      <c r="C33" s="552">
        <v>6.3</v>
      </c>
      <c r="D33" s="212">
        <v>20</v>
      </c>
      <c r="E33" s="212" t="s">
        <v>41</v>
      </c>
      <c r="F33" s="552">
        <v>10</v>
      </c>
      <c r="G33" s="552" t="s">
        <v>419</v>
      </c>
      <c r="H33" s="556" t="s">
        <v>43</v>
      </c>
      <c r="I33" s="72">
        <f>(D33*20+F33)-(A33*20+C33)</f>
        <v>3.6999999999999886</v>
      </c>
      <c r="J33" s="552">
        <v>7.7</v>
      </c>
      <c r="K33" s="72">
        <f>TRUNC(I33*J33,2)</f>
        <v>28.48</v>
      </c>
      <c r="L33" s="72" t="s">
        <v>35</v>
      </c>
      <c r="M33" s="198">
        <f t="shared" ref="M33" si="11">K33</f>
        <v>28.48</v>
      </c>
      <c r="O33" s="409"/>
    </row>
    <row r="34" spans="1:15" s="27" customFormat="1" ht="12" customHeight="1">
      <c r="A34" s="212">
        <f t="shared" ref="A34:H35" si="12">A25</f>
        <v>21</v>
      </c>
      <c r="B34" s="212" t="str">
        <f t="shared" si="12"/>
        <v>+</v>
      </c>
      <c r="C34" s="468">
        <f t="shared" si="12"/>
        <v>3</v>
      </c>
      <c r="D34" s="212">
        <f t="shared" si="12"/>
        <v>21</v>
      </c>
      <c r="E34" s="212" t="str">
        <f t="shared" si="12"/>
        <v>+</v>
      </c>
      <c r="F34" s="468">
        <f t="shared" si="12"/>
        <v>10.7</v>
      </c>
      <c r="G34" s="468" t="str">
        <f t="shared" si="12"/>
        <v>LIMPA RODAS - RUA 168</v>
      </c>
      <c r="H34" s="468" t="str">
        <f t="shared" si="12"/>
        <v>LE</v>
      </c>
      <c r="I34" s="72" t="s">
        <v>35</v>
      </c>
      <c r="J34" s="535" t="s">
        <v>35</v>
      </c>
      <c r="K34" s="72">
        <f>K25</f>
        <v>91.56</v>
      </c>
      <c r="L34" s="72" t="s">
        <v>35</v>
      </c>
      <c r="M34" s="198">
        <f>K34</f>
        <v>91.56</v>
      </c>
      <c r="O34" s="409"/>
    </row>
    <row r="35" spans="1:15" s="27" customFormat="1" ht="12" customHeight="1">
      <c r="A35" s="212">
        <f t="shared" si="12"/>
        <v>29</v>
      </c>
      <c r="B35" s="212" t="str">
        <f t="shared" si="12"/>
        <v>+</v>
      </c>
      <c r="C35" s="556">
        <f t="shared" si="12"/>
        <v>10</v>
      </c>
      <c r="D35" s="212">
        <f t="shared" si="12"/>
        <v>29</v>
      </c>
      <c r="E35" s="212" t="str">
        <f t="shared" si="12"/>
        <v>+</v>
      </c>
      <c r="F35" s="556">
        <f t="shared" si="12"/>
        <v>19</v>
      </c>
      <c r="G35" s="556" t="str">
        <f t="shared" si="12"/>
        <v>LIMPA RODAS - RUA 213</v>
      </c>
      <c r="H35" s="556" t="str">
        <f t="shared" si="12"/>
        <v>LE</v>
      </c>
      <c r="I35" s="72" t="s">
        <v>35</v>
      </c>
      <c r="J35" s="556" t="s">
        <v>35</v>
      </c>
      <c r="K35" s="72">
        <f>K26</f>
        <v>102.3</v>
      </c>
      <c r="L35" s="72" t="s">
        <v>35</v>
      </c>
      <c r="M35" s="198">
        <f>K35</f>
        <v>102.3</v>
      </c>
      <c r="O35" s="409"/>
    </row>
    <row r="36" spans="1:15" s="27" customFormat="1" ht="12" customHeight="1">
      <c r="A36" s="760" t="s">
        <v>177</v>
      </c>
      <c r="B36" s="760"/>
      <c r="C36" s="760"/>
      <c r="D36" s="760"/>
      <c r="E36" s="760"/>
      <c r="F36" s="760"/>
      <c r="G36" s="760"/>
      <c r="H36" s="760"/>
      <c r="I36" s="760"/>
      <c r="J36" s="760"/>
      <c r="K36" s="760"/>
      <c r="L36" s="760"/>
      <c r="M36" s="198">
        <f>SUM(M31:M35)</f>
        <v>4885.3600000000006</v>
      </c>
      <c r="O36" s="409"/>
    </row>
    <row r="37" spans="1:15" s="27" customFormat="1" ht="12" customHeight="1">
      <c r="A37" s="760" t="s">
        <v>377</v>
      </c>
      <c r="B37" s="760"/>
      <c r="C37" s="760"/>
      <c r="D37" s="760"/>
      <c r="E37" s="760"/>
      <c r="F37" s="760"/>
      <c r="G37" s="760"/>
      <c r="H37" s="760"/>
      <c r="I37" s="760"/>
      <c r="J37" s="760"/>
      <c r="K37" s="760"/>
      <c r="L37" s="760"/>
      <c r="M37" s="198">
        <f>TRUNC(M36*0.0013,2)</f>
        <v>6.35</v>
      </c>
      <c r="O37" s="409"/>
    </row>
    <row r="38" spans="1:15" s="27" customFormat="1" ht="12" customHeight="1">
      <c r="A38" s="761" t="s">
        <v>378</v>
      </c>
      <c r="B38" s="761"/>
      <c r="C38" s="761"/>
      <c r="D38" s="761"/>
      <c r="E38" s="761"/>
      <c r="F38" s="761"/>
      <c r="G38" s="761"/>
      <c r="H38" s="761"/>
      <c r="I38" s="761"/>
      <c r="J38" s="761"/>
      <c r="K38" s="761"/>
      <c r="L38" s="761"/>
      <c r="M38" s="72">
        <f>M37</f>
        <v>6.35</v>
      </c>
      <c r="O38" s="409"/>
    </row>
    <row r="39" spans="1:15" s="27" customFormat="1" ht="21.75" hidden="1" customHeight="1">
      <c r="A39" s="761" t="s">
        <v>403</v>
      </c>
      <c r="B39" s="761"/>
      <c r="C39" s="761"/>
      <c r="D39" s="761"/>
      <c r="E39" s="761"/>
      <c r="F39" s="761"/>
      <c r="G39" s="761"/>
      <c r="H39" s="761"/>
      <c r="I39" s="761"/>
      <c r="J39" s="761"/>
      <c r="K39" s="761"/>
      <c r="L39" s="761"/>
      <c r="M39" s="324">
        <f>TRUNC(((26.939*(589.906/270.237))+(0.253*589.906/270.237)*488)*1.17,2)</f>
        <v>384.13</v>
      </c>
      <c r="O39" s="409"/>
    </row>
    <row r="40" spans="1:15" s="27" customFormat="1" ht="12" hidden="1" customHeight="1">
      <c r="A40" s="761" t="s">
        <v>176</v>
      </c>
      <c r="B40" s="761"/>
      <c r="C40" s="761"/>
      <c r="D40" s="761"/>
      <c r="E40" s="761"/>
      <c r="F40" s="761"/>
      <c r="G40" s="761"/>
      <c r="H40" s="761"/>
      <c r="I40" s="761"/>
      <c r="J40" s="761"/>
      <c r="K40" s="761"/>
      <c r="L40" s="761"/>
      <c r="M40" s="761"/>
      <c r="O40" s="409"/>
    </row>
    <row r="41" spans="1:15" s="27" customFormat="1" ht="12" customHeight="1">
      <c r="A41" s="247"/>
      <c r="B41" s="210"/>
      <c r="C41" s="211"/>
      <c r="D41" s="210"/>
      <c r="E41" s="210"/>
      <c r="F41" s="211"/>
      <c r="G41" s="211"/>
      <c r="H41" s="211"/>
      <c r="I41" s="211"/>
      <c r="J41" s="211"/>
      <c r="K41" s="211"/>
      <c r="L41" s="211"/>
      <c r="M41" s="248"/>
      <c r="O41" s="409"/>
    </row>
    <row r="42" spans="1:15" s="27" customFormat="1" ht="12" customHeight="1">
      <c r="A42" s="763" t="s">
        <v>120</v>
      </c>
      <c r="B42" s="763"/>
      <c r="C42" s="763"/>
      <c r="D42" s="763"/>
      <c r="E42" s="763"/>
      <c r="F42" s="763"/>
      <c r="G42" s="763"/>
      <c r="H42" s="763"/>
      <c r="I42" s="763"/>
      <c r="J42" s="763"/>
      <c r="K42" s="763"/>
      <c r="L42" s="763"/>
      <c r="M42" s="763"/>
      <c r="O42" s="409"/>
    </row>
    <row r="43" spans="1:15" s="27" customFormat="1" ht="12" customHeight="1">
      <c r="A43" s="763" t="s">
        <v>39</v>
      </c>
      <c r="B43" s="763"/>
      <c r="C43" s="763"/>
      <c r="D43" s="763" t="s">
        <v>40</v>
      </c>
      <c r="E43" s="763"/>
      <c r="F43" s="763"/>
      <c r="G43" s="469" t="s">
        <v>47</v>
      </c>
      <c r="H43" s="469" t="s">
        <v>99</v>
      </c>
      <c r="I43" s="237" t="s">
        <v>42</v>
      </c>
      <c r="J43" s="237" t="s">
        <v>38</v>
      </c>
      <c r="K43" s="237" t="s">
        <v>220</v>
      </c>
      <c r="L43" s="237" t="s">
        <v>118</v>
      </c>
      <c r="M43" s="237" t="s">
        <v>122</v>
      </c>
      <c r="O43" s="409"/>
    </row>
    <row r="44" spans="1:15" s="27" customFormat="1" ht="12" customHeight="1">
      <c r="A44" s="212">
        <f t="shared" ref="A44:K44" si="13">A31</f>
        <v>0</v>
      </c>
      <c r="B44" s="212" t="str">
        <f t="shared" si="13"/>
        <v>+</v>
      </c>
      <c r="C44" s="535">
        <f t="shared" si="13"/>
        <v>0</v>
      </c>
      <c r="D44" s="212">
        <f t="shared" si="13"/>
        <v>1</v>
      </c>
      <c r="E44" s="212" t="str">
        <f t="shared" si="13"/>
        <v>+</v>
      </c>
      <c r="F44" s="535">
        <f t="shared" si="13"/>
        <v>10</v>
      </c>
      <c r="G44" s="535" t="str">
        <f t="shared" si="13"/>
        <v>ACESSO Á RUA PARANÁ</v>
      </c>
      <c r="H44" s="535" t="str">
        <f t="shared" si="13"/>
        <v>LE/LD</v>
      </c>
      <c r="I44" s="72" t="str">
        <f t="shared" si="13"/>
        <v>-</v>
      </c>
      <c r="J44" s="535" t="str">
        <f t="shared" si="13"/>
        <v>-</v>
      </c>
      <c r="K44" s="72">
        <f t="shared" si="13"/>
        <v>197.02</v>
      </c>
      <c r="L44" s="72" t="s">
        <v>35</v>
      </c>
      <c r="M44" s="198">
        <f t="shared" ref="M44" si="14">K44</f>
        <v>197.02</v>
      </c>
      <c r="O44" s="409"/>
    </row>
    <row r="45" spans="1:15" s="27" customFormat="1" ht="12" customHeight="1">
      <c r="A45" s="212">
        <f t="shared" ref="A45:J45" si="15">A32</f>
        <v>1</v>
      </c>
      <c r="B45" s="212" t="str">
        <f t="shared" si="15"/>
        <v>+</v>
      </c>
      <c r="C45" s="552">
        <f t="shared" si="15"/>
        <v>0</v>
      </c>
      <c r="D45" s="212">
        <f t="shared" si="15"/>
        <v>30</v>
      </c>
      <c r="E45" s="212" t="str">
        <f t="shared" si="15"/>
        <v>+</v>
      </c>
      <c r="F45" s="552">
        <f t="shared" si="15"/>
        <v>0</v>
      </c>
      <c r="G45" s="552" t="str">
        <f t="shared" si="15"/>
        <v>RUA PARANÁ</v>
      </c>
      <c r="H45" s="552" t="str">
        <f t="shared" si="15"/>
        <v>LE/LD</v>
      </c>
      <c r="I45" s="72">
        <f t="shared" si="15"/>
        <v>580</v>
      </c>
      <c r="J45" s="552">
        <f t="shared" si="15"/>
        <v>7.7</v>
      </c>
      <c r="K45" s="72">
        <f>TRUNC(I45*J45,2)</f>
        <v>4466</v>
      </c>
      <c r="L45" s="72" t="s">
        <v>35</v>
      </c>
      <c r="M45" s="198">
        <f t="shared" ref="M45" si="16">K45</f>
        <v>4466</v>
      </c>
      <c r="O45" s="409"/>
    </row>
    <row r="46" spans="1:15" s="27" customFormat="1" ht="12" customHeight="1">
      <c r="A46" s="212">
        <f t="shared" ref="A46:J46" si="17">A33</f>
        <v>20</v>
      </c>
      <c r="B46" s="212" t="str">
        <f t="shared" si="17"/>
        <v>+</v>
      </c>
      <c r="C46" s="552">
        <f t="shared" si="17"/>
        <v>6.3</v>
      </c>
      <c r="D46" s="212">
        <f t="shared" si="17"/>
        <v>20</v>
      </c>
      <c r="E46" s="212" t="str">
        <f t="shared" si="17"/>
        <v>+</v>
      </c>
      <c r="F46" s="552">
        <f t="shared" si="17"/>
        <v>10</v>
      </c>
      <c r="G46" s="552" t="str">
        <f t="shared" si="17"/>
        <v>LOMBADA</v>
      </c>
      <c r="H46" s="552" t="str">
        <f t="shared" si="17"/>
        <v>LE/LD</v>
      </c>
      <c r="I46" s="72">
        <f t="shared" si="17"/>
        <v>3.6999999999999886</v>
      </c>
      <c r="J46" s="552">
        <f t="shared" si="17"/>
        <v>7.7</v>
      </c>
      <c r="K46" s="72">
        <f>TRUNC(I46*J46,2)</f>
        <v>28.48</v>
      </c>
      <c r="L46" s="72" t="s">
        <v>35</v>
      </c>
      <c r="M46" s="198">
        <f t="shared" ref="M46" si="18">K46</f>
        <v>28.48</v>
      </c>
      <c r="O46" s="409"/>
    </row>
    <row r="47" spans="1:15" s="27" customFormat="1" ht="12" customHeight="1">
      <c r="A47" s="212">
        <f t="shared" ref="A47:J47" si="19">A34</f>
        <v>21</v>
      </c>
      <c r="B47" s="212" t="str">
        <f t="shared" si="19"/>
        <v>+</v>
      </c>
      <c r="C47" s="552">
        <f t="shared" si="19"/>
        <v>3</v>
      </c>
      <c r="D47" s="212">
        <f t="shared" si="19"/>
        <v>21</v>
      </c>
      <c r="E47" s="212" t="str">
        <f t="shared" si="19"/>
        <v>+</v>
      </c>
      <c r="F47" s="552">
        <f t="shared" si="19"/>
        <v>10.7</v>
      </c>
      <c r="G47" s="552" t="str">
        <f t="shared" si="19"/>
        <v>LIMPA RODAS - RUA 168</v>
      </c>
      <c r="H47" s="552" t="str">
        <f t="shared" si="19"/>
        <v>LE</v>
      </c>
      <c r="I47" s="72" t="str">
        <f t="shared" si="19"/>
        <v>-</v>
      </c>
      <c r="J47" s="552" t="str">
        <f t="shared" si="19"/>
        <v>-</v>
      </c>
      <c r="K47" s="72">
        <f>K34</f>
        <v>91.56</v>
      </c>
      <c r="L47" s="72" t="s">
        <v>35</v>
      </c>
      <c r="M47" s="198">
        <f t="shared" ref="M47" si="20">K47</f>
        <v>91.56</v>
      </c>
      <c r="O47" s="409"/>
    </row>
    <row r="48" spans="1:15" s="27" customFormat="1" ht="12" customHeight="1">
      <c r="A48" s="212">
        <f t="shared" ref="A48:J48" si="21">A35</f>
        <v>29</v>
      </c>
      <c r="B48" s="212" t="str">
        <f t="shared" si="21"/>
        <v>+</v>
      </c>
      <c r="C48" s="556">
        <f t="shared" si="21"/>
        <v>10</v>
      </c>
      <c r="D48" s="212">
        <f t="shared" si="21"/>
        <v>29</v>
      </c>
      <c r="E48" s="212" t="str">
        <f t="shared" si="21"/>
        <v>+</v>
      </c>
      <c r="F48" s="556">
        <f t="shared" si="21"/>
        <v>19</v>
      </c>
      <c r="G48" s="556" t="str">
        <f t="shared" si="21"/>
        <v>LIMPA RODAS - RUA 213</v>
      </c>
      <c r="H48" s="556" t="str">
        <f t="shared" si="21"/>
        <v>LE</v>
      </c>
      <c r="I48" s="72" t="str">
        <f t="shared" si="21"/>
        <v>-</v>
      </c>
      <c r="J48" s="556" t="str">
        <f t="shared" si="21"/>
        <v>-</v>
      </c>
      <c r="K48" s="72">
        <f>K35</f>
        <v>102.3</v>
      </c>
      <c r="L48" s="72" t="s">
        <v>35</v>
      </c>
      <c r="M48" s="198">
        <f t="shared" ref="M48" si="22">K48</f>
        <v>102.3</v>
      </c>
      <c r="O48" s="409"/>
    </row>
    <row r="49" spans="1:17" s="27" customFormat="1" ht="12" customHeight="1">
      <c r="A49" s="760" t="s">
        <v>177</v>
      </c>
      <c r="B49" s="760"/>
      <c r="C49" s="760"/>
      <c r="D49" s="760"/>
      <c r="E49" s="760"/>
      <c r="F49" s="760"/>
      <c r="G49" s="760"/>
      <c r="H49" s="760"/>
      <c r="I49" s="760"/>
      <c r="J49" s="760"/>
      <c r="K49" s="760"/>
      <c r="L49" s="760"/>
      <c r="M49" s="198">
        <f>SUM(M44:M48)</f>
        <v>4885.3600000000006</v>
      </c>
      <c r="O49" s="409"/>
    </row>
    <row r="50" spans="1:17" s="27" customFormat="1" ht="12" customHeight="1">
      <c r="A50" s="760" t="s">
        <v>379</v>
      </c>
      <c r="B50" s="760"/>
      <c r="C50" s="760"/>
      <c r="D50" s="760"/>
      <c r="E50" s="760"/>
      <c r="F50" s="760"/>
      <c r="G50" s="760"/>
      <c r="H50" s="760"/>
      <c r="I50" s="760"/>
      <c r="J50" s="760"/>
      <c r="K50" s="760"/>
      <c r="L50" s="760"/>
      <c r="M50" s="198">
        <f>TRUNC(M49*0.00045,2)</f>
        <v>2.19</v>
      </c>
      <c r="O50" s="409"/>
    </row>
    <row r="51" spans="1:17" s="27" customFormat="1" ht="12" customHeight="1">
      <c r="A51" s="761" t="s">
        <v>178</v>
      </c>
      <c r="B51" s="761"/>
      <c r="C51" s="761"/>
      <c r="D51" s="761"/>
      <c r="E51" s="761"/>
      <c r="F51" s="761"/>
      <c r="G51" s="761"/>
      <c r="H51" s="761"/>
      <c r="I51" s="761"/>
      <c r="J51" s="761"/>
      <c r="K51" s="761"/>
      <c r="L51" s="761"/>
      <c r="M51" s="72">
        <f>M50</f>
        <v>2.19</v>
      </c>
      <c r="O51" s="409"/>
    </row>
    <row r="52" spans="1:17" s="27" customFormat="1" ht="21" hidden="1" customHeight="1">
      <c r="A52" s="761" t="s">
        <v>403</v>
      </c>
      <c r="B52" s="761"/>
      <c r="C52" s="761"/>
      <c r="D52" s="761"/>
      <c r="E52" s="761"/>
      <c r="F52" s="761"/>
      <c r="G52" s="761"/>
      <c r="H52" s="761"/>
      <c r="I52" s="761"/>
      <c r="J52" s="761"/>
      <c r="K52" s="761"/>
      <c r="L52" s="761"/>
      <c r="M52" s="324">
        <f>TRUNC(((26.939*(589.906/270.237))+(0.253*589.906/270.237)*488)*1.17,2)</f>
        <v>384.13</v>
      </c>
      <c r="O52" s="409"/>
    </row>
    <row r="53" spans="1:17" s="27" customFormat="1" ht="12" hidden="1" customHeight="1">
      <c r="A53" s="761" t="s">
        <v>176</v>
      </c>
      <c r="B53" s="761"/>
      <c r="C53" s="761"/>
      <c r="D53" s="761"/>
      <c r="E53" s="761"/>
      <c r="F53" s="761"/>
      <c r="G53" s="761"/>
      <c r="H53" s="761"/>
      <c r="I53" s="761"/>
      <c r="J53" s="761"/>
      <c r="K53" s="761"/>
      <c r="L53" s="761"/>
      <c r="M53" s="761"/>
      <c r="O53" s="409"/>
    </row>
    <row r="54" spans="1:17" s="27" customFormat="1" ht="12" customHeight="1">
      <c r="A54" s="247"/>
      <c r="B54" s="210"/>
      <c r="C54" s="211"/>
      <c r="D54" s="210"/>
      <c r="E54" s="210"/>
      <c r="F54" s="211"/>
      <c r="G54" s="211"/>
      <c r="H54" s="211"/>
      <c r="I54" s="211"/>
      <c r="J54" s="211"/>
      <c r="K54" s="211"/>
      <c r="L54" s="211"/>
      <c r="M54" s="248"/>
      <c r="O54" s="409"/>
    </row>
    <row r="55" spans="1:17" s="27" customFormat="1" ht="12" customHeight="1">
      <c r="A55" s="763" t="s">
        <v>243</v>
      </c>
      <c r="B55" s="763"/>
      <c r="C55" s="763"/>
      <c r="D55" s="763"/>
      <c r="E55" s="763"/>
      <c r="F55" s="763"/>
      <c r="G55" s="763"/>
      <c r="H55" s="763"/>
      <c r="I55" s="763"/>
      <c r="J55" s="763"/>
      <c r="K55" s="763"/>
      <c r="L55" s="763"/>
      <c r="M55" s="763"/>
      <c r="O55" s="409"/>
    </row>
    <row r="56" spans="1:17" s="27" customFormat="1" ht="12" customHeight="1">
      <c r="A56" s="763" t="s">
        <v>39</v>
      </c>
      <c r="B56" s="763"/>
      <c r="C56" s="763"/>
      <c r="D56" s="763" t="s">
        <v>40</v>
      </c>
      <c r="E56" s="763"/>
      <c r="F56" s="763"/>
      <c r="G56" s="469" t="s">
        <v>47</v>
      </c>
      <c r="H56" s="469" t="s">
        <v>99</v>
      </c>
      <c r="I56" s="237" t="s">
        <v>42</v>
      </c>
      <c r="J56" s="237" t="s">
        <v>38</v>
      </c>
      <c r="K56" s="237" t="s">
        <v>220</v>
      </c>
      <c r="L56" s="237" t="s">
        <v>118</v>
      </c>
      <c r="M56" s="237" t="s">
        <v>121</v>
      </c>
      <c r="O56" s="409"/>
    </row>
    <row r="57" spans="1:17" s="27" customFormat="1" ht="12" customHeight="1">
      <c r="A57" s="212">
        <f t="shared" ref="A57:K57" si="23">A44</f>
        <v>0</v>
      </c>
      <c r="B57" s="212" t="str">
        <f t="shared" si="23"/>
        <v>+</v>
      </c>
      <c r="C57" s="535">
        <f t="shared" si="23"/>
        <v>0</v>
      </c>
      <c r="D57" s="212">
        <f t="shared" si="23"/>
        <v>1</v>
      </c>
      <c r="E57" s="212" t="str">
        <f t="shared" si="23"/>
        <v>+</v>
      </c>
      <c r="F57" s="535">
        <f t="shared" si="23"/>
        <v>10</v>
      </c>
      <c r="G57" s="535" t="str">
        <f t="shared" si="23"/>
        <v>ACESSO Á RUA PARANÁ</v>
      </c>
      <c r="H57" s="535" t="str">
        <f t="shared" si="23"/>
        <v>LE/LD</v>
      </c>
      <c r="I57" s="72" t="str">
        <f t="shared" si="23"/>
        <v>-</v>
      </c>
      <c r="J57" s="535" t="str">
        <f t="shared" si="23"/>
        <v>-</v>
      </c>
      <c r="K57" s="72">
        <f t="shared" si="23"/>
        <v>197.02</v>
      </c>
      <c r="L57" s="535">
        <v>0.05</v>
      </c>
      <c r="M57" s="198">
        <f t="shared" ref="M57" si="24">TRUNC(K57*L57,2)</f>
        <v>9.85</v>
      </c>
      <c r="O57" s="409"/>
    </row>
    <row r="58" spans="1:17" s="27" customFormat="1" ht="12" customHeight="1">
      <c r="A58" s="212">
        <f t="shared" ref="A58:H61" si="25">A45</f>
        <v>1</v>
      </c>
      <c r="B58" s="212" t="str">
        <f t="shared" si="25"/>
        <v>+</v>
      </c>
      <c r="C58" s="496">
        <f t="shared" si="25"/>
        <v>0</v>
      </c>
      <c r="D58" s="212">
        <f t="shared" si="25"/>
        <v>30</v>
      </c>
      <c r="E58" s="212" t="str">
        <f t="shared" si="25"/>
        <v>+</v>
      </c>
      <c r="F58" s="496">
        <f t="shared" si="25"/>
        <v>0</v>
      </c>
      <c r="G58" s="496" t="str">
        <f t="shared" si="25"/>
        <v>RUA PARANÁ</v>
      </c>
      <c r="H58" s="496" t="str">
        <f t="shared" si="25"/>
        <v>LE/LD</v>
      </c>
      <c r="I58" s="72">
        <f>(D58*20+F58)-(A58*20+C58)</f>
        <v>580</v>
      </c>
      <c r="J58" s="535">
        <v>7.7</v>
      </c>
      <c r="K58" s="72">
        <f>TRUNC(I58*J58,2)</f>
        <v>4466</v>
      </c>
      <c r="L58" s="496">
        <v>0.05</v>
      </c>
      <c r="M58" s="198">
        <f t="shared" ref="M58" si="26">TRUNC(K58*L58,2)</f>
        <v>223.3</v>
      </c>
      <c r="O58" s="409"/>
    </row>
    <row r="59" spans="1:17" s="27" customFormat="1" ht="12" customHeight="1">
      <c r="A59" s="212">
        <f t="shared" si="25"/>
        <v>20</v>
      </c>
      <c r="B59" s="212" t="str">
        <f t="shared" si="25"/>
        <v>+</v>
      </c>
      <c r="C59" s="552">
        <f t="shared" si="25"/>
        <v>6.3</v>
      </c>
      <c r="D59" s="212">
        <f t="shared" si="25"/>
        <v>20</v>
      </c>
      <c r="E59" s="212" t="str">
        <f t="shared" si="25"/>
        <v>+</v>
      </c>
      <c r="F59" s="552">
        <f t="shared" si="25"/>
        <v>10</v>
      </c>
      <c r="G59" s="552" t="str">
        <f t="shared" si="25"/>
        <v>LOMBADA</v>
      </c>
      <c r="H59" s="552" t="str">
        <f t="shared" si="25"/>
        <v>LE/LD</v>
      </c>
      <c r="I59" s="72">
        <f t="shared" ref="I59" si="27">(D59*20+F59)-(A59*20+C59)</f>
        <v>3.6999999999999886</v>
      </c>
      <c r="J59" s="552">
        <v>7.7</v>
      </c>
      <c r="K59" s="72">
        <f>TRUNC(I59*J59,2)</f>
        <v>28.48</v>
      </c>
      <c r="L59" s="468">
        <v>0.05</v>
      </c>
      <c r="M59" s="198">
        <f t="shared" ref="M59" si="28">TRUNC(K59*L59,2)</f>
        <v>1.42</v>
      </c>
      <c r="O59" s="409"/>
    </row>
    <row r="60" spans="1:17" s="27" customFormat="1" ht="12" customHeight="1">
      <c r="A60" s="212">
        <f t="shared" si="25"/>
        <v>21</v>
      </c>
      <c r="B60" s="212" t="str">
        <f t="shared" si="25"/>
        <v>+</v>
      </c>
      <c r="C60" s="552">
        <f t="shared" si="25"/>
        <v>3</v>
      </c>
      <c r="D60" s="212">
        <f t="shared" si="25"/>
        <v>21</v>
      </c>
      <c r="E60" s="212" t="str">
        <f t="shared" si="25"/>
        <v>+</v>
      </c>
      <c r="F60" s="552">
        <f t="shared" si="25"/>
        <v>10.7</v>
      </c>
      <c r="G60" s="552" t="str">
        <f t="shared" si="25"/>
        <v>LIMPA RODAS - RUA 168</v>
      </c>
      <c r="H60" s="552" t="str">
        <f t="shared" si="25"/>
        <v>LE</v>
      </c>
      <c r="I60" s="72" t="str">
        <f t="shared" ref="I60:K61" si="29">I47</f>
        <v>-</v>
      </c>
      <c r="J60" s="552" t="str">
        <f t="shared" si="29"/>
        <v>-</v>
      </c>
      <c r="K60" s="72">
        <f t="shared" si="29"/>
        <v>91.56</v>
      </c>
      <c r="L60" s="496">
        <v>0.05</v>
      </c>
      <c r="M60" s="198">
        <f t="shared" ref="M60" si="30">TRUNC(K60*L60,2)</f>
        <v>4.57</v>
      </c>
      <c r="O60" s="409"/>
    </row>
    <row r="61" spans="1:17" s="27" customFormat="1" ht="12" customHeight="1">
      <c r="A61" s="212">
        <f t="shared" si="25"/>
        <v>29</v>
      </c>
      <c r="B61" s="212" t="str">
        <f t="shared" si="25"/>
        <v>+</v>
      </c>
      <c r="C61" s="556">
        <f t="shared" si="25"/>
        <v>10</v>
      </c>
      <c r="D61" s="212">
        <f t="shared" si="25"/>
        <v>29</v>
      </c>
      <c r="E61" s="212" t="str">
        <f t="shared" si="25"/>
        <v>+</v>
      </c>
      <c r="F61" s="556">
        <f t="shared" si="25"/>
        <v>19</v>
      </c>
      <c r="G61" s="556" t="str">
        <f t="shared" si="25"/>
        <v>LIMPA RODAS - RUA 213</v>
      </c>
      <c r="H61" s="556" t="str">
        <f t="shared" si="25"/>
        <v>LE</v>
      </c>
      <c r="I61" s="72" t="str">
        <f t="shared" si="29"/>
        <v>-</v>
      </c>
      <c r="J61" s="556" t="str">
        <f t="shared" si="29"/>
        <v>-</v>
      </c>
      <c r="K61" s="72">
        <f t="shared" si="29"/>
        <v>102.3</v>
      </c>
      <c r="L61" s="556">
        <v>0.05</v>
      </c>
      <c r="M61" s="198">
        <f t="shared" ref="M61" si="31">TRUNC(K61*L61,2)</f>
        <v>5.1100000000000003</v>
      </c>
      <c r="O61" s="409"/>
    </row>
    <row r="62" spans="1:17" ht="12" customHeight="1">
      <c r="A62" s="760" t="s">
        <v>123</v>
      </c>
      <c r="B62" s="760"/>
      <c r="C62" s="760"/>
      <c r="D62" s="760"/>
      <c r="E62" s="760"/>
      <c r="F62" s="760"/>
      <c r="G62" s="760"/>
      <c r="H62" s="760"/>
      <c r="I62" s="760"/>
      <c r="J62" s="760"/>
      <c r="K62" s="760"/>
      <c r="L62" s="760"/>
      <c r="M62" s="198">
        <f>SUM(M57:M61)</f>
        <v>244.25</v>
      </c>
    </row>
    <row r="63" spans="1:17" ht="12" customHeight="1">
      <c r="A63" s="760" t="s">
        <v>375</v>
      </c>
      <c r="B63" s="760"/>
      <c r="C63" s="760"/>
      <c r="D63" s="760"/>
      <c r="E63" s="760"/>
      <c r="F63" s="760"/>
      <c r="G63" s="760"/>
      <c r="H63" s="760"/>
      <c r="I63" s="760"/>
      <c r="J63" s="760"/>
      <c r="K63" s="760"/>
      <c r="L63" s="760"/>
      <c r="M63" s="243">
        <f>TRUNC(M62*2.5,2)</f>
        <v>610.62</v>
      </c>
      <c r="Q63" s="410"/>
    </row>
    <row r="64" spans="1:17" ht="12" customHeight="1">
      <c r="A64" s="760" t="s">
        <v>376</v>
      </c>
      <c r="B64" s="760"/>
      <c r="C64" s="760"/>
      <c r="D64" s="760"/>
      <c r="E64" s="760"/>
      <c r="F64" s="760"/>
      <c r="G64" s="760"/>
      <c r="H64" s="760"/>
      <c r="I64" s="760"/>
      <c r="J64" s="760"/>
      <c r="K64" s="760"/>
      <c r="L64" s="760"/>
      <c r="M64" s="243">
        <f>TRUNC(M63*5.2%,2)</f>
        <v>31.75</v>
      </c>
    </row>
    <row r="65" spans="1:13" ht="12" customHeight="1">
      <c r="A65" s="760" t="s">
        <v>374</v>
      </c>
      <c r="B65" s="760"/>
      <c r="C65" s="760"/>
      <c r="D65" s="760"/>
      <c r="E65" s="760"/>
      <c r="F65" s="760"/>
      <c r="G65" s="760"/>
      <c r="H65" s="760"/>
      <c r="I65" s="760"/>
      <c r="J65" s="760"/>
      <c r="K65" s="760"/>
      <c r="L65" s="760"/>
      <c r="M65" s="243">
        <f>M64</f>
        <v>31.75</v>
      </c>
    </row>
    <row r="66" spans="1:13" ht="21" hidden="1" customHeight="1">
      <c r="A66" s="762" t="s">
        <v>403</v>
      </c>
      <c r="B66" s="762"/>
      <c r="C66" s="762"/>
      <c r="D66" s="762"/>
      <c r="E66" s="762"/>
      <c r="F66" s="762"/>
      <c r="G66" s="762"/>
      <c r="H66" s="762"/>
      <c r="I66" s="762"/>
      <c r="J66" s="762"/>
      <c r="K66" s="762"/>
      <c r="L66" s="762"/>
      <c r="M66" s="325">
        <f>TRUNC(((26.939*(589.906/270.237))+(0.253*589.906/270.237)*488)*1.17,2)</f>
        <v>384.13</v>
      </c>
    </row>
    <row r="67" spans="1:13" ht="12" hidden="1" customHeight="1">
      <c r="A67" s="761" t="s">
        <v>176</v>
      </c>
      <c r="B67" s="761"/>
      <c r="C67" s="761"/>
      <c r="D67" s="761"/>
      <c r="E67" s="761"/>
      <c r="F67" s="761"/>
      <c r="G67" s="761"/>
      <c r="H67" s="761"/>
      <c r="I67" s="761"/>
      <c r="J67" s="761"/>
      <c r="K67" s="761"/>
      <c r="L67" s="761"/>
      <c r="M67" s="761"/>
    </row>
    <row r="68" spans="1:13" ht="12" customHeight="1">
      <c r="A68" s="326"/>
      <c r="B68" s="326"/>
      <c r="C68" s="326"/>
      <c r="D68" s="326"/>
      <c r="E68" s="326"/>
      <c r="F68" s="326"/>
      <c r="G68" s="326"/>
      <c r="H68" s="326"/>
      <c r="I68" s="326"/>
      <c r="J68" s="326"/>
      <c r="K68" s="326"/>
      <c r="L68" s="326"/>
      <c r="M68" s="326"/>
    </row>
    <row r="74" spans="1:13" ht="3" customHeight="1"/>
    <row r="78" spans="1:13" ht="3" customHeight="1"/>
  </sheetData>
  <mergeCells count="42">
    <mergeCell ref="A1:F3"/>
    <mergeCell ref="K2:L2"/>
    <mergeCell ref="G3:L3"/>
    <mergeCell ref="G1:M1"/>
    <mergeCell ref="H2:J2"/>
    <mergeCell ref="A49:L49"/>
    <mergeCell ref="A50:L50"/>
    <mergeCell ref="A11:L11"/>
    <mergeCell ref="A27:L27"/>
    <mergeCell ref="A36:L36"/>
    <mergeCell ref="A42:M42"/>
    <mergeCell ref="A43:C43"/>
    <mergeCell ref="D43:F43"/>
    <mergeCell ref="A37:L37"/>
    <mergeCell ref="D22:F22"/>
    <mergeCell ref="A21:M21"/>
    <mergeCell ref="A13:M13"/>
    <mergeCell ref="A14:C14"/>
    <mergeCell ref="D14:F14"/>
    <mergeCell ref="A19:L19"/>
    <mergeCell ref="A56:C56"/>
    <mergeCell ref="D56:F56"/>
    <mergeCell ref="A5:M5"/>
    <mergeCell ref="A6:C6"/>
    <mergeCell ref="D6:F6"/>
    <mergeCell ref="A40:M40"/>
    <mergeCell ref="A29:M29"/>
    <mergeCell ref="A30:C30"/>
    <mergeCell ref="D30:F30"/>
    <mergeCell ref="A53:M53"/>
    <mergeCell ref="A55:M55"/>
    <mergeCell ref="A52:L52"/>
    <mergeCell ref="A51:L51"/>
    <mergeCell ref="A22:C22"/>
    <mergeCell ref="A38:L38"/>
    <mergeCell ref="A39:L39"/>
    <mergeCell ref="A62:L62"/>
    <mergeCell ref="A67:M67"/>
    <mergeCell ref="A64:L64"/>
    <mergeCell ref="A65:L65"/>
    <mergeCell ref="A66:L66"/>
    <mergeCell ref="A63:L63"/>
  </mergeCells>
  <phoneticPr fontId="12" type="noConversion"/>
  <printOptions horizontalCentered="1"/>
  <pageMargins left="0.78740157480314965" right="0.78740157480314965" top="0.59055118110236227" bottom="0.94488188976377963" header="0" footer="0.19685039370078741"/>
  <pageSetup paperSize="9" scale="72" orientation="portrait" r:id="rId1"/>
  <headerFooter alignWithMargins="0">
    <oddFooter>&amp;CEng° Darcio Pagani Vieira
Crea/SC - 077.222-9</oddFooter>
  </headerFooter>
  <ignoredErrors>
    <ignoredError sqref="I16:K16 I17:J17 K24:K25 K34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showGridLines="0" view="pageBreakPreview" zoomScale="145" zoomScaleSheetLayoutView="145" workbookViewId="0">
      <pane ySplit="3" topLeftCell="A4" activePane="bottomLeft" state="frozen"/>
      <selection activeCell="C19" sqref="C19"/>
      <selection pane="bottomLeft" activeCell="C19" sqref="C19"/>
    </sheetView>
  </sheetViews>
  <sheetFormatPr defaultRowHeight="12.75"/>
  <cols>
    <col min="1" max="6" width="6" style="430" customWidth="1"/>
    <col min="7" max="7" width="40.7109375" style="430" bestFit="1" customWidth="1"/>
    <col min="8" max="8" width="15" style="430" customWidth="1"/>
    <col min="9" max="10" width="15" style="436" customWidth="1"/>
    <col min="11" max="12" width="15" style="430" customWidth="1"/>
    <col min="13" max="13" width="23.140625" style="430" bestFit="1" customWidth="1"/>
    <col min="14" max="257" width="9.140625" style="430"/>
    <col min="258" max="263" width="4.85546875" style="430" customWidth="1"/>
    <col min="264" max="264" width="8.42578125" style="430" bestFit="1" customWidth="1"/>
    <col min="265" max="265" width="12.7109375" style="430" customWidth="1"/>
    <col min="266" max="266" width="15.42578125" style="430" bestFit="1" customWidth="1"/>
    <col min="267" max="269" width="12.7109375" style="430" customWidth="1"/>
    <col min="270" max="513" width="9.140625" style="430"/>
    <col min="514" max="519" width="4.85546875" style="430" customWidth="1"/>
    <col min="520" max="520" width="8.42578125" style="430" bestFit="1" customWidth="1"/>
    <col min="521" max="521" width="12.7109375" style="430" customWidth="1"/>
    <col min="522" max="522" width="15.42578125" style="430" bestFit="1" customWidth="1"/>
    <col min="523" max="525" width="12.7109375" style="430" customWidth="1"/>
    <col min="526" max="769" width="9.140625" style="430"/>
    <col min="770" max="775" width="4.85546875" style="430" customWidth="1"/>
    <col min="776" max="776" width="8.42578125" style="430" bestFit="1" customWidth="1"/>
    <col min="777" max="777" width="12.7109375" style="430" customWidth="1"/>
    <col min="778" max="778" width="15.42578125" style="430" bestFit="1" customWidth="1"/>
    <col min="779" max="781" width="12.7109375" style="430" customWidth="1"/>
    <col min="782" max="1025" width="9.140625" style="430"/>
    <col min="1026" max="1031" width="4.85546875" style="430" customWidth="1"/>
    <col min="1032" max="1032" width="8.42578125" style="430" bestFit="1" customWidth="1"/>
    <col min="1033" max="1033" width="12.7109375" style="430" customWidth="1"/>
    <col min="1034" max="1034" width="15.42578125" style="430" bestFit="1" customWidth="1"/>
    <col min="1035" max="1037" width="12.7109375" style="430" customWidth="1"/>
    <col min="1038" max="1281" width="9.140625" style="430"/>
    <col min="1282" max="1287" width="4.85546875" style="430" customWidth="1"/>
    <col min="1288" max="1288" width="8.42578125" style="430" bestFit="1" customWidth="1"/>
    <col min="1289" max="1289" width="12.7109375" style="430" customWidth="1"/>
    <col min="1290" max="1290" width="15.42578125" style="430" bestFit="1" customWidth="1"/>
    <col min="1291" max="1293" width="12.7109375" style="430" customWidth="1"/>
    <col min="1294" max="1537" width="9.140625" style="430"/>
    <col min="1538" max="1543" width="4.85546875" style="430" customWidth="1"/>
    <col min="1544" max="1544" width="8.42578125" style="430" bestFit="1" customWidth="1"/>
    <col min="1545" max="1545" width="12.7109375" style="430" customWidth="1"/>
    <col min="1546" max="1546" width="15.42578125" style="430" bestFit="1" customWidth="1"/>
    <col min="1547" max="1549" width="12.7109375" style="430" customWidth="1"/>
    <col min="1550" max="1793" width="9.140625" style="430"/>
    <col min="1794" max="1799" width="4.85546875" style="430" customWidth="1"/>
    <col min="1800" max="1800" width="8.42578125" style="430" bestFit="1" customWidth="1"/>
    <col min="1801" max="1801" width="12.7109375" style="430" customWidth="1"/>
    <col min="1802" max="1802" width="15.42578125" style="430" bestFit="1" customWidth="1"/>
    <col min="1803" max="1805" width="12.7109375" style="430" customWidth="1"/>
    <col min="1806" max="2049" width="9.140625" style="430"/>
    <col min="2050" max="2055" width="4.85546875" style="430" customWidth="1"/>
    <col min="2056" max="2056" width="8.42578125" style="430" bestFit="1" customWidth="1"/>
    <col min="2057" max="2057" width="12.7109375" style="430" customWidth="1"/>
    <col min="2058" max="2058" width="15.42578125" style="430" bestFit="1" customWidth="1"/>
    <col min="2059" max="2061" width="12.7109375" style="430" customWidth="1"/>
    <col min="2062" max="2305" width="9.140625" style="430"/>
    <col min="2306" max="2311" width="4.85546875" style="430" customWidth="1"/>
    <col min="2312" max="2312" width="8.42578125" style="430" bestFit="1" customWidth="1"/>
    <col min="2313" max="2313" width="12.7109375" style="430" customWidth="1"/>
    <col min="2314" max="2314" width="15.42578125" style="430" bestFit="1" customWidth="1"/>
    <col min="2315" max="2317" width="12.7109375" style="430" customWidth="1"/>
    <col min="2318" max="2561" width="9.140625" style="430"/>
    <col min="2562" max="2567" width="4.85546875" style="430" customWidth="1"/>
    <col min="2568" max="2568" width="8.42578125" style="430" bestFit="1" customWidth="1"/>
    <col min="2569" max="2569" width="12.7109375" style="430" customWidth="1"/>
    <col min="2570" max="2570" width="15.42578125" style="430" bestFit="1" customWidth="1"/>
    <col min="2571" max="2573" width="12.7109375" style="430" customWidth="1"/>
    <col min="2574" max="2817" width="9.140625" style="430"/>
    <col min="2818" max="2823" width="4.85546875" style="430" customWidth="1"/>
    <col min="2824" max="2824" width="8.42578125" style="430" bestFit="1" customWidth="1"/>
    <col min="2825" max="2825" width="12.7109375" style="430" customWidth="1"/>
    <col min="2826" max="2826" width="15.42578125" style="430" bestFit="1" customWidth="1"/>
    <col min="2827" max="2829" width="12.7109375" style="430" customWidth="1"/>
    <col min="2830" max="3073" width="9.140625" style="430"/>
    <col min="3074" max="3079" width="4.85546875" style="430" customWidth="1"/>
    <col min="3080" max="3080" width="8.42578125" style="430" bestFit="1" customWidth="1"/>
    <col min="3081" max="3081" width="12.7109375" style="430" customWidth="1"/>
    <col min="3082" max="3082" width="15.42578125" style="430" bestFit="1" customWidth="1"/>
    <col min="3083" max="3085" width="12.7109375" style="430" customWidth="1"/>
    <col min="3086" max="3329" width="9.140625" style="430"/>
    <col min="3330" max="3335" width="4.85546875" style="430" customWidth="1"/>
    <col min="3336" max="3336" width="8.42578125" style="430" bestFit="1" customWidth="1"/>
    <col min="3337" max="3337" width="12.7109375" style="430" customWidth="1"/>
    <col min="3338" max="3338" width="15.42578125" style="430" bestFit="1" customWidth="1"/>
    <col min="3339" max="3341" width="12.7109375" style="430" customWidth="1"/>
    <col min="3342" max="3585" width="9.140625" style="430"/>
    <col min="3586" max="3591" width="4.85546875" style="430" customWidth="1"/>
    <col min="3592" max="3592" width="8.42578125" style="430" bestFit="1" customWidth="1"/>
    <col min="3593" max="3593" width="12.7109375" style="430" customWidth="1"/>
    <col min="3594" max="3594" width="15.42578125" style="430" bestFit="1" customWidth="1"/>
    <col min="3595" max="3597" width="12.7109375" style="430" customWidth="1"/>
    <col min="3598" max="3841" width="9.140625" style="430"/>
    <col min="3842" max="3847" width="4.85546875" style="430" customWidth="1"/>
    <col min="3848" max="3848" width="8.42578125" style="430" bestFit="1" customWidth="1"/>
    <col min="3849" max="3849" width="12.7109375" style="430" customWidth="1"/>
    <col min="3850" max="3850" width="15.42578125" style="430" bestFit="1" customWidth="1"/>
    <col min="3851" max="3853" width="12.7109375" style="430" customWidth="1"/>
    <col min="3854" max="4097" width="9.140625" style="430"/>
    <col min="4098" max="4103" width="4.85546875" style="430" customWidth="1"/>
    <col min="4104" max="4104" width="8.42578125" style="430" bestFit="1" customWidth="1"/>
    <col min="4105" max="4105" width="12.7109375" style="430" customWidth="1"/>
    <col min="4106" max="4106" width="15.42578125" style="430" bestFit="1" customWidth="1"/>
    <col min="4107" max="4109" width="12.7109375" style="430" customWidth="1"/>
    <col min="4110" max="4353" width="9.140625" style="430"/>
    <col min="4354" max="4359" width="4.85546875" style="430" customWidth="1"/>
    <col min="4360" max="4360" width="8.42578125" style="430" bestFit="1" customWidth="1"/>
    <col min="4361" max="4361" width="12.7109375" style="430" customWidth="1"/>
    <col min="4362" max="4362" width="15.42578125" style="430" bestFit="1" customWidth="1"/>
    <col min="4363" max="4365" width="12.7109375" style="430" customWidth="1"/>
    <col min="4366" max="4609" width="9.140625" style="430"/>
    <col min="4610" max="4615" width="4.85546875" style="430" customWidth="1"/>
    <col min="4616" max="4616" width="8.42578125" style="430" bestFit="1" customWidth="1"/>
    <col min="4617" max="4617" width="12.7109375" style="430" customWidth="1"/>
    <col min="4618" max="4618" width="15.42578125" style="430" bestFit="1" customWidth="1"/>
    <col min="4619" max="4621" width="12.7109375" style="430" customWidth="1"/>
    <col min="4622" max="4865" width="9.140625" style="430"/>
    <col min="4866" max="4871" width="4.85546875" style="430" customWidth="1"/>
    <col min="4872" max="4872" width="8.42578125" style="430" bestFit="1" customWidth="1"/>
    <col min="4873" max="4873" width="12.7109375" style="430" customWidth="1"/>
    <col min="4874" max="4874" width="15.42578125" style="430" bestFit="1" customWidth="1"/>
    <col min="4875" max="4877" width="12.7109375" style="430" customWidth="1"/>
    <col min="4878" max="5121" width="9.140625" style="430"/>
    <col min="5122" max="5127" width="4.85546875" style="430" customWidth="1"/>
    <col min="5128" max="5128" width="8.42578125" style="430" bestFit="1" customWidth="1"/>
    <col min="5129" max="5129" width="12.7109375" style="430" customWidth="1"/>
    <col min="5130" max="5130" width="15.42578125" style="430" bestFit="1" customWidth="1"/>
    <col min="5131" max="5133" width="12.7109375" style="430" customWidth="1"/>
    <col min="5134" max="5377" width="9.140625" style="430"/>
    <col min="5378" max="5383" width="4.85546875" style="430" customWidth="1"/>
    <col min="5384" max="5384" width="8.42578125" style="430" bestFit="1" customWidth="1"/>
    <col min="5385" max="5385" width="12.7109375" style="430" customWidth="1"/>
    <col min="5386" max="5386" width="15.42578125" style="430" bestFit="1" customWidth="1"/>
    <col min="5387" max="5389" width="12.7109375" style="430" customWidth="1"/>
    <col min="5390" max="5633" width="9.140625" style="430"/>
    <col min="5634" max="5639" width="4.85546875" style="430" customWidth="1"/>
    <col min="5640" max="5640" width="8.42578125" style="430" bestFit="1" customWidth="1"/>
    <col min="5641" max="5641" width="12.7109375" style="430" customWidth="1"/>
    <col min="5642" max="5642" width="15.42578125" style="430" bestFit="1" customWidth="1"/>
    <col min="5643" max="5645" width="12.7109375" style="430" customWidth="1"/>
    <col min="5646" max="5889" width="9.140625" style="430"/>
    <col min="5890" max="5895" width="4.85546875" style="430" customWidth="1"/>
    <col min="5896" max="5896" width="8.42578125" style="430" bestFit="1" customWidth="1"/>
    <col min="5897" max="5897" width="12.7109375" style="430" customWidth="1"/>
    <col min="5898" max="5898" width="15.42578125" style="430" bestFit="1" customWidth="1"/>
    <col min="5899" max="5901" width="12.7109375" style="430" customWidth="1"/>
    <col min="5902" max="6145" width="9.140625" style="430"/>
    <col min="6146" max="6151" width="4.85546875" style="430" customWidth="1"/>
    <col min="6152" max="6152" width="8.42578125" style="430" bestFit="1" customWidth="1"/>
    <col min="6153" max="6153" width="12.7109375" style="430" customWidth="1"/>
    <col min="6154" max="6154" width="15.42578125" style="430" bestFit="1" customWidth="1"/>
    <col min="6155" max="6157" width="12.7109375" style="430" customWidth="1"/>
    <col min="6158" max="6401" width="9.140625" style="430"/>
    <col min="6402" max="6407" width="4.85546875" style="430" customWidth="1"/>
    <col min="6408" max="6408" width="8.42578125" style="430" bestFit="1" customWidth="1"/>
    <col min="6409" max="6409" width="12.7109375" style="430" customWidth="1"/>
    <col min="6410" max="6410" width="15.42578125" style="430" bestFit="1" customWidth="1"/>
    <col min="6411" max="6413" width="12.7109375" style="430" customWidth="1"/>
    <col min="6414" max="6657" width="9.140625" style="430"/>
    <col min="6658" max="6663" width="4.85546875" style="430" customWidth="1"/>
    <col min="6664" max="6664" width="8.42578125" style="430" bestFit="1" customWidth="1"/>
    <col min="6665" max="6665" width="12.7109375" style="430" customWidth="1"/>
    <col min="6666" max="6666" width="15.42578125" style="430" bestFit="1" customWidth="1"/>
    <col min="6667" max="6669" width="12.7109375" style="430" customWidth="1"/>
    <col min="6670" max="6913" width="9.140625" style="430"/>
    <col min="6914" max="6919" width="4.85546875" style="430" customWidth="1"/>
    <col min="6920" max="6920" width="8.42578125" style="430" bestFit="1" customWidth="1"/>
    <col min="6921" max="6921" width="12.7109375" style="430" customWidth="1"/>
    <col min="6922" max="6922" width="15.42578125" style="430" bestFit="1" customWidth="1"/>
    <col min="6923" max="6925" width="12.7109375" style="430" customWidth="1"/>
    <col min="6926" max="7169" width="9.140625" style="430"/>
    <col min="7170" max="7175" width="4.85546875" style="430" customWidth="1"/>
    <col min="7176" max="7176" width="8.42578125" style="430" bestFit="1" customWidth="1"/>
    <col min="7177" max="7177" width="12.7109375" style="430" customWidth="1"/>
    <col min="7178" max="7178" width="15.42578125" style="430" bestFit="1" customWidth="1"/>
    <col min="7179" max="7181" width="12.7109375" style="430" customWidth="1"/>
    <col min="7182" max="7425" width="9.140625" style="430"/>
    <col min="7426" max="7431" width="4.85546875" style="430" customWidth="1"/>
    <col min="7432" max="7432" width="8.42578125" style="430" bestFit="1" customWidth="1"/>
    <col min="7433" max="7433" width="12.7109375" style="430" customWidth="1"/>
    <col min="7434" max="7434" width="15.42578125" style="430" bestFit="1" customWidth="1"/>
    <col min="7435" max="7437" width="12.7109375" style="430" customWidth="1"/>
    <col min="7438" max="7681" width="9.140625" style="430"/>
    <col min="7682" max="7687" width="4.85546875" style="430" customWidth="1"/>
    <col min="7688" max="7688" width="8.42578125" style="430" bestFit="1" customWidth="1"/>
    <col min="7689" max="7689" width="12.7109375" style="430" customWidth="1"/>
    <col min="7690" max="7690" width="15.42578125" style="430" bestFit="1" customWidth="1"/>
    <col min="7691" max="7693" width="12.7109375" style="430" customWidth="1"/>
    <col min="7694" max="7937" width="9.140625" style="430"/>
    <col min="7938" max="7943" width="4.85546875" style="430" customWidth="1"/>
    <col min="7944" max="7944" width="8.42578125" style="430" bestFit="1" customWidth="1"/>
    <col min="7945" max="7945" width="12.7109375" style="430" customWidth="1"/>
    <col min="7946" max="7946" width="15.42578125" style="430" bestFit="1" customWidth="1"/>
    <col min="7947" max="7949" width="12.7109375" style="430" customWidth="1"/>
    <col min="7950" max="8193" width="9.140625" style="430"/>
    <col min="8194" max="8199" width="4.85546875" style="430" customWidth="1"/>
    <col min="8200" max="8200" width="8.42578125" style="430" bestFit="1" customWidth="1"/>
    <col min="8201" max="8201" width="12.7109375" style="430" customWidth="1"/>
    <col min="8202" max="8202" width="15.42578125" style="430" bestFit="1" customWidth="1"/>
    <col min="8203" max="8205" width="12.7109375" style="430" customWidth="1"/>
    <col min="8206" max="8449" width="9.140625" style="430"/>
    <col min="8450" max="8455" width="4.85546875" style="430" customWidth="1"/>
    <col min="8456" max="8456" width="8.42578125" style="430" bestFit="1" customWidth="1"/>
    <col min="8457" max="8457" width="12.7109375" style="430" customWidth="1"/>
    <col min="8458" max="8458" width="15.42578125" style="430" bestFit="1" customWidth="1"/>
    <col min="8459" max="8461" width="12.7109375" style="430" customWidth="1"/>
    <col min="8462" max="8705" width="9.140625" style="430"/>
    <col min="8706" max="8711" width="4.85546875" style="430" customWidth="1"/>
    <col min="8712" max="8712" width="8.42578125" style="430" bestFit="1" customWidth="1"/>
    <col min="8713" max="8713" width="12.7109375" style="430" customWidth="1"/>
    <col min="8714" max="8714" width="15.42578125" style="430" bestFit="1" customWidth="1"/>
    <col min="8715" max="8717" width="12.7109375" style="430" customWidth="1"/>
    <col min="8718" max="8961" width="9.140625" style="430"/>
    <col min="8962" max="8967" width="4.85546875" style="430" customWidth="1"/>
    <col min="8968" max="8968" width="8.42578125" style="430" bestFit="1" customWidth="1"/>
    <col min="8969" max="8969" width="12.7109375" style="430" customWidth="1"/>
    <col min="8970" max="8970" width="15.42578125" style="430" bestFit="1" customWidth="1"/>
    <col min="8971" max="8973" width="12.7109375" style="430" customWidth="1"/>
    <col min="8974" max="9217" width="9.140625" style="430"/>
    <col min="9218" max="9223" width="4.85546875" style="430" customWidth="1"/>
    <col min="9224" max="9224" width="8.42578125" style="430" bestFit="1" customWidth="1"/>
    <col min="9225" max="9225" width="12.7109375" style="430" customWidth="1"/>
    <col min="9226" max="9226" width="15.42578125" style="430" bestFit="1" customWidth="1"/>
    <col min="9227" max="9229" width="12.7109375" style="430" customWidth="1"/>
    <col min="9230" max="9473" width="9.140625" style="430"/>
    <col min="9474" max="9479" width="4.85546875" style="430" customWidth="1"/>
    <col min="9480" max="9480" width="8.42578125" style="430" bestFit="1" customWidth="1"/>
    <col min="9481" max="9481" width="12.7109375" style="430" customWidth="1"/>
    <col min="9482" max="9482" width="15.42578125" style="430" bestFit="1" customWidth="1"/>
    <col min="9483" max="9485" width="12.7109375" style="430" customWidth="1"/>
    <col min="9486" max="9729" width="9.140625" style="430"/>
    <col min="9730" max="9735" width="4.85546875" style="430" customWidth="1"/>
    <col min="9736" max="9736" width="8.42578125" style="430" bestFit="1" customWidth="1"/>
    <col min="9737" max="9737" width="12.7109375" style="430" customWidth="1"/>
    <col min="9738" max="9738" width="15.42578125" style="430" bestFit="1" customWidth="1"/>
    <col min="9739" max="9741" width="12.7109375" style="430" customWidth="1"/>
    <col min="9742" max="9985" width="9.140625" style="430"/>
    <col min="9986" max="9991" width="4.85546875" style="430" customWidth="1"/>
    <col min="9992" max="9992" width="8.42578125" style="430" bestFit="1" customWidth="1"/>
    <col min="9993" max="9993" width="12.7109375" style="430" customWidth="1"/>
    <col min="9994" max="9994" width="15.42578125" style="430" bestFit="1" customWidth="1"/>
    <col min="9995" max="9997" width="12.7109375" style="430" customWidth="1"/>
    <col min="9998" max="10241" width="9.140625" style="430"/>
    <col min="10242" max="10247" width="4.85546875" style="430" customWidth="1"/>
    <col min="10248" max="10248" width="8.42578125" style="430" bestFit="1" customWidth="1"/>
    <col min="10249" max="10249" width="12.7109375" style="430" customWidth="1"/>
    <col min="10250" max="10250" width="15.42578125" style="430" bestFit="1" customWidth="1"/>
    <col min="10251" max="10253" width="12.7109375" style="430" customWidth="1"/>
    <col min="10254" max="10497" width="9.140625" style="430"/>
    <col min="10498" max="10503" width="4.85546875" style="430" customWidth="1"/>
    <col min="10504" max="10504" width="8.42578125" style="430" bestFit="1" customWidth="1"/>
    <col min="10505" max="10505" width="12.7109375" style="430" customWidth="1"/>
    <col min="10506" max="10506" width="15.42578125" style="430" bestFit="1" customWidth="1"/>
    <col min="10507" max="10509" width="12.7109375" style="430" customWidth="1"/>
    <col min="10510" max="10753" width="9.140625" style="430"/>
    <col min="10754" max="10759" width="4.85546875" style="430" customWidth="1"/>
    <col min="10760" max="10760" width="8.42578125" style="430" bestFit="1" customWidth="1"/>
    <col min="10761" max="10761" width="12.7109375" style="430" customWidth="1"/>
    <col min="10762" max="10762" width="15.42578125" style="430" bestFit="1" customWidth="1"/>
    <col min="10763" max="10765" width="12.7109375" style="430" customWidth="1"/>
    <col min="10766" max="11009" width="9.140625" style="430"/>
    <col min="11010" max="11015" width="4.85546875" style="430" customWidth="1"/>
    <col min="11016" max="11016" width="8.42578125" style="430" bestFit="1" customWidth="1"/>
    <col min="11017" max="11017" width="12.7109375" style="430" customWidth="1"/>
    <col min="11018" max="11018" width="15.42578125" style="430" bestFit="1" customWidth="1"/>
    <col min="11019" max="11021" width="12.7109375" style="430" customWidth="1"/>
    <col min="11022" max="11265" width="9.140625" style="430"/>
    <col min="11266" max="11271" width="4.85546875" style="430" customWidth="1"/>
    <col min="11272" max="11272" width="8.42578125" style="430" bestFit="1" customWidth="1"/>
    <col min="11273" max="11273" width="12.7109375" style="430" customWidth="1"/>
    <col min="11274" max="11274" width="15.42578125" style="430" bestFit="1" customWidth="1"/>
    <col min="11275" max="11277" width="12.7109375" style="430" customWidth="1"/>
    <col min="11278" max="11521" width="9.140625" style="430"/>
    <col min="11522" max="11527" width="4.85546875" style="430" customWidth="1"/>
    <col min="11528" max="11528" width="8.42578125" style="430" bestFit="1" customWidth="1"/>
    <col min="11529" max="11529" width="12.7109375" style="430" customWidth="1"/>
    <col min="11530" max="11530" width="15.42578125" style="430" bestFit="1" customWidth="1"/>
    <col min="11531" max="11533" width="12.7109375" style="430" customWidth="1"/>
    <col min="11534" max="11777" width="9.140625" style="430"/>
    <col min="11778" max="11783" width="4.85546875" style="430" customWidth="1"/>
    <col min="11784" max="11784" width="8.42578125" style="430" bestFit="1" customWidth="1"/>
    <col min="11785" max="11785" width="12.7109375" style="430" customWidth="1"/>
    <col min="11786" max="11786" width="15.42578125" style="430" bestFit="1" customWidth="1"/>
    <col min="11787" max="11789" width="12.7109375" style="430" customWidth="1"/>
    <col min="11790" max="12033" width="9.140625" style="430"/>
    <col min="12034" max="12039" width="4.85546875" style="430" customWidth="1"/>
    <col min="12040" max="12040" width="8.42578125" style="430" bestFit="1" customWidth="1"/>
    <col min="12041" max="12041" width="12.7109375" style="430" customWidth="1"/>
    <col min="12042" max="12042" width="15.42578125" style="430" bestFit="1" customWidth="1"/>
    <col min="12043" max="12045" width="12.7109375" style="430" customWidth="1"/>
    <col min="12046" max="12289" width="9.140625" style="430"/>
    <col min="12290" max="12295" width="4.85546875" style="430" customWidth="1"/>
    <col min="12296" max="12296" width="8.42578125" style="430" bestFit="1" customWidth="1"/>
    <col min="12297" max="12297" width="12.7109375" style="430" customWidth="1"/>
    <col min="12298" max="12298" width="15.42578125" style="430" bestFit="1" customWidth="1"/>
    <col min="12299" max="12301" width="12.7109375" style="430" customWidth="1"/>
    <col min="12302" max="12545" width="9.140625" style="430"/>
    <col min="12546" max="12551" width="4.85546875" style="430" customWidth="1"/>
    <col min="12552" max="12552" width="8.42578125" style="430" bestFit="1" customWidth="1"/>
    <col min="12553" max="12553" width="12.7109375" style="430" customWidth="1"/>
    <col min="12554" max="12554" width="15.42578125" style="430" bestFit="1" customWidth="1"/>
    <col min="12555" max="12557" width="12.7109375" style="430" customWidth="1"/>
    <col min="12558" max="12801" width="9.140625" style="430"/>
    <col min="12802" max="12807" width="4.85546875" style="430" customWidth="1"/>
    <col min="12808" max="12808" width="8.42578125" style="430" bestFit="1" customWidth="1"/>
    <col min="12809" max="12809" width="12.7109375" style="430" customWidth="1"/>
    <col min="12810" max="12810" width="15.42578125" style="430" bestFit="1" customWidth="1"/>
    <col min="12811" max="12813" width="12.7109375" style="430" customWidth="1"/>
    <col min="12814" max="13057" width="9.140625" style="430"/>
    <col min="13058" max="13063" width="4.85546875" style="430" customWidth="1"/>
    <col min="13064" max="13064" width="8.42578125" style="430" bestFit="1" customWidth="1"/>
    <col min="13065" max="13065" width="12.7109375" style="430" customWidth="1"/>
    <col min="13066" max="13066" width="15.42578125" style="430" bestFit="1" customWidth="1"/>
    <col min="13067" max="13069" width="12.7109375" style="430" customWidth="1"/>
    <col min="13070" max="13313" width="9.140625" style="430"/>
    <col min="13314" max="13319" width="4.85546875" style="430" customWidth="1"/>
    <col min="13320" max="13320" width="8.42578125" style="430" bestFit="1" customWidth="1"/>
    <col min="13321" max="13321" width="12.7109375" style="430" customWidth="1"/>
    <col min="13322" max="13322" width="15.42578125" style="430" bestFit="1" customWidth="1"/>
    <col min="13323" max="13325" width="12.7109375" style="430" customWidth="1"/>
    <col min="13326" max="13569" width="9.140625" style="430"/>
    <col min="13570" max="13575" width="4.85546875" style="430" customWidth="1"/>
    <col min="13576" max="13576" width="8.42578125" style="430" bestFit="1" customWidth="1"/>
    <col min="13577" max="13577" width="12.7109375" style="430" customWidth="1"/>
    <col min="13578" max="13578" width="15.42578125" style="430" bestFit="1" customWidth="1"/>
    <col min="13579" max="13581" width="12.7109375" style="430" customWidth="1"/>
    <col min="13582" max="13825" width="9.140625" style="430"/>
    <col min="13826" max="13831" width="4.85546875" style="430" customWidth="1"/>
    <col min="13832" max="13832" width="8.42578125" style="430" bestFit="1" customWidth="1"/>
    <col min="13833" max="13833" width="12.7109375" style="430" customWidth="1"/>
    <col min="13834" max="13834" width="15.42578125" style="430" bestFit="1" customWidth="1"/>
    <col min="13835" max="13837" width="12.7109375" style="430" customWidth="1"/>
    <col min="13838" max="14081" width="9.140625" style="430"/>
    <col min="14082" max="14087" width="4.85546875" style="430" customWidth="1"/>
    <col min="14088" max="14088" width="8.42578125" style="430" bestFit="1" customWidth="1"/>
    <col min="14089" max="14089" width="12.7109375" style="430" customWidth="1"/>
    <col min="14090" max="14090" width="15.42578125" style="430" bestFit="1" customWidth="1"/>
    <col min="14091" max="14093" width="12.7109375" style="430" customWidth="1"/>
    <col min="14094" max="14337" width="9.140625" style="430"/>
    <col min="14338" max="14343" width="4.85546875" style="430" customWidth="1"/>
    <col min="14344" max="14344" width="8.42578125" style="430" bestFit="1" customWidth="1"/>
    <col min="14345" max="14345" width="12.7109375" style="430" customWidth="1"/>
    <col min="14346" max="14346" width="15.42578125" style="430" bestFit="1" customWidth="1"/>
    <col min="14347" max="14349" width="12.7109375" style="430" customWidth="1"/>
    <col min="14350" max="14593" width="9.140625" style="430"/>
    <col min="14594" max="14599" width="4.85546875" style="430" customWidth="1"/>
    <col min="14600" max="14600" width="8.42578125" style="430" bestFit="1" customWidth="1"/>
    <col min="14601" max="14601" width="12.7109375" style="430" customWidth="1"/>
    <col min="14602" max="14602" width="15.42578125" style="430" bestFit="1" customWidth="1"/>
    <col min="14603" max="14605" width="12.7109375" style="430" customWidth="1"/>
    <col min="14606" max="14849" width="9.140625" style="430"/>
    <col min="14850" max="14855" width="4.85546875" style="430" customWidth="1"/>
    <col min="14856" max="14856" width="8.42578125" style="430" bestFit="1" customWidth="1"/>
    <col min="14857" max="14857" width="12.7109375" style="430" customWidth="1"/>
    <col min="14858" max="14858" width="15.42578125" style="430" bestFit="1" customWidth="1"/>
    <col min="14859" max="14861" width="12.7109375" style="430" customWidth="1"/>
    <col min="14862" max="15105" width="9.140625" style="430"/>
    <col min="15106" max="15111" width="4.85546875" style="430" customWidth="1"/>
    <col min="15112" max="15112" width="8.42578125" style="430" bestFit="1" customWidth="1"/>
    <col min="15113" max="15113" width="12.7109375" style="430" customWidth="1"/>
    <col min="15114" max="15114" width="15.42578125" style="430" bestFit="1" customWidth="1"/>
    <col min="15115" max="15117" width="12.7109375" style="430" customWidth="1"/>
    <col min="15118" max="15361" width="9.140625" style="430"/>
    <col min="15362" max="15367" width="4.85546875" style="430" customWidth="1"/>
    <col min="15368" max="15368" width="8.42578125" style="430" bestFit="1" customWidth="1"/>
    <col min="15369" max="15369" width="12.7109375" style="430" customWidth="1"/>
    <col min="15370" max="15370" width="15.42578125" style="430" bestFit="1" customWidth="1"/>
    <col min="15371" max="15373" width="12.7109375" style="430" customWidth="1"/>
    <col min="15374" max="15617" width="9.140625" style="430"/>
    <col min="15618" max="15623" width="4.85546875" style="430" customWidth="1"/>
    <col min="15624" max="15624" width="8.42578125" style="430" bestFit="1" customWidth="1"/>
    <col min="15625" max="15625" width="12.7109375" style="430" customWidth="1"/>
    <col min="15626" max="15626" width="15.42578125" style="430" bestFit="1" customWidth="1"/>
    <col min="15627" max="15629" width="12.7109375" style="430" customWidth="1"/>
    <col min="15630" max="15873" width="9.140625" style="430"/>
    <col min="15874" max="15879" width="4.85546875" style="430" customWidth="1"/>
    <col min="15880" max="15880" width="8.42578125" style="430" bestFit="1" customWidth="1"/>
    <col min="15881" max="15881" width="12.7109375" style="430" customWidth="1"/>
    <col min="15882" max="15882" width="15.42578125" style="430" bestFit="1" customWidth="1"/>
    <col min="15883" max="15885" width="12.7109375" style="430" customWidth="1"/>
    <col min="15886" max="16129" width="9.140625" style="430"/>
    <col min="16130" max="16135" width="4.85546875" style="430" customWidth="1"/>
    <col min="16136" max="16136" width="8.42578125" style="430" bestFit="1" customWidth="1"/>
    <col min="16137" max="16137" width="12.7109375" style="430" customWidth="1"/>
    <col min="16138" max="16138" width="15.42578125" style="430" bestFit="1" customWidth="1"/>
    <col min="16139" max="16141" width="12.7109375" style="430" customWidth="1"/>
    <col min="16142" max="16384" width="9.140625" style="430"/>
  </cols>
  <sheetData>
    <row r="1" spans="1:15" ht="37.5" customHeight="1">
      <c r="A1" s="777"/>
      <c r="B1" s="778"/>
      <c r="C1" s="779"/>
      <c r="D1" s="786" t="s">
        <v>388</v>
      </c>
      <c r="E1" s="786"/>
      <c r="F1" s="786"/>
      <c r="G1" s="786"/>
      <c r="H1" s="786"/>
      <c r="I1" s="786"/>
      <c r="J1" s="786"/>
      <c r="K1" s="786"/>
      <c r="L1" s="786"/>
      <c r="M1" s="787"/>
    </row>
    <row r="2" spans="1:15" ht="12" customHeight="1">
      <c r="A2" s="780"/>
      <c r="B2" s="781"/>
      <c r="C2" s="782"/>
      <c r="D2" s="788" t="str">
        <f>PAVIM.!G2</f>
        <v>PREFEITURA MUNICIPAL DE MARACAJÁ</v>
      </c>
      <c r="E2" s="788"/>
      <c r="F2" s="788"/>
      <c r="G2" s="788"/>
      <c r="H2" s="789"/>
      <c r="I2" s="790" t="str">
        <f>PAVIM.!H2</f>
        <v>BAIRRO: ESPIGÃO GRANDE</v>
      </c>
      <c r="J2" s="790"/>
      <c r="K2" s="791" t="str">
        <f>PAVIM.!K2</f>
        <v>MUNICIPIO: MARACAJÁ</v>
      </c>
      <c r="L2" s="791"/>
      <c r="M2" s="431" t="str">
        <f>PAVIM.!M2</f>
        <v>ESTADO: SANTA CATARINA</v>
      </c>
    </row>
    <row r="3" spans="1:15" ht="12" customHeight="1">
      <c r="A3" s="783"/>
      <c r="B3" s="784"/>
      <c r="C3" s="785"/>
      <c r="D3" s="792" t="str">
        <f>PAVIM.!G3</f>
        <v>RUA PARANÁ - TRECHO 01</v>
      </c>
      <c r="E3" s="792"/>
      <c r="F3" s="792"/>
      <c r="G3" s="792"/>
      <c r="H3" s="792"/>
      <c r="I3" s="792"/>
      <c r="J3" s="792"/>
      <c r="K3" s="792"/>
      <c r="L3" s="793"/>
      <c r="M3" s="242" t="str">
        <f ca="1">PAVIM.!M3</f>
        <v>DATA: 12/08/26</v>
      </c>
    </row>
    <row r="4" spans="1:15" s="432" customFormat="1">
      <c r="A4" s="770" t="s">
        <v>395</v>
      </c>
      <c r="B4" s="771"/>
      <c r="C4" s="771"/>
      <c r="D4" s="771"/>
      <c r="E4" s="771"/>
      <c r="F4" s="771"/>
      <c r="G4" s="771"/>
      <c r="H4" s="771"/>
      <c r="I4" s="771"/>
      <c r="J4" s="771"/>
      <c r="K4" s="771"/>
      <c r="L4" s="771"/>
      <c r="M4" s="772"/>
    </row>
    <row r="5" spans="1:15" s="432" customFormat="1" ht="12" customHeight="1">
      <c r="A5" s="773" t="s">
        <v>39</v>
      </c>
      <c r="B5" s="773"/>
      <c r="C5" s="773"/>
      <c r="D5" s="773" t="s">
        <v>40</v>
      </c>
      <c r="E5" s="773"/>
      <c r="F5" s="773"/>
      <c r="G5" s="433" t="s">
        <v>244</v>
      </c>
      <c r="H5" s="433" t="s">
        <v>99</v>
      </c>
      <c r="I5" s="434" t="s">
        <v>42</v>
      </c>
      <c r="J5" s="434" t="s">
        <v>38</v>
      </c>
      <c r="K5" s="433" t="s">
        <v>220</v>
      </c>
      <c r="L5" s="433" t="s">
        <v>385</v>
      </c>
      <c r="M5" s="433" t="s">
        <v>387</v>
      </c>
    </row>
    <row r="6" spans="1:15" s="432" customFormat="1" ht="12" customHeight="1">
      <c r="A6" s="212">
        <f>PAVIM.!A7</f>
        <v>0</v>
      </c>
      <c r="B6" s="212" t="str">
        <f>PAVIM.!B7</f>
        <v>+</v>
      </c>
      <c r="C6" s="535">
        <f>PAVIM.!C7</f>
        <v>0</v>
      </c>
      <c r="D6" s="212">
        <f>PAVIM.!D7</f>
        <v>1</v>
      </c>
      <c r="E6" s="535" t="str">
        <f>PAVIM.!E7</f>
        <v>+</v>
      </c>
      <c r="F6" s="535">
        <f>PAVIM.!F7</f>
        <v>10</v>
      </c>
      <c r="G6" s="535" t="str">
        <f>PAVIM.!G7</f>
        <v>ACESSO Á RUA PARANÁ</v>
      </c>
      <c r="H6" s="535" t="str">
        <f>PAVIM.!H7</f>
        <v>LE/LD</v>
      </c>
      <c r="I6" s="72">
        <v>30</v>
      </c>
      <c r="J6" s="535" t="s">
        <v>35</v>
      </c>
      <c r="K6" s="535" t="s">
        <v>35</v>
      </c>
      <c r="L6" s="535" t="s">
        <v>35</v>
      </c>
      <c r="M6" s="198">
        <f>TRUNC(I6,2)</f>
        <v>30</v>
      </c>
    </row>
    <row r="7" spans="1:15" s="27" customFormat="1" ht="12" customHeight="1">
      <c r="A7" s="794" t="s">
        <v>386</v>
      </c>
      <c r="B7" s="794"/>
      <c r="C7" s="794"/>
      <c r="D7" s="794"/>
      <c r="E7" s="794"/>
      <c r="F7" s="794"/>
      <c r="G7" s="794"/>
      <c r="H7" s="794"/>
      <c r="I7" s="794"/>
      <c r="J7" s="794"/>
      <c r="K7" s="794"/>
      <c r="L7" s="794"/>
      <c r="M7" s="435">
        <f>SUM(M6)</f>
        <v>30</v>
      </c>
      <c r="O7" s="234"/>
    </row>
    <row r="8" spans="1:15" ht="12" customHeight="1">
      <c r="A8" s="455"/>
      <c r="B8" s="456"/>
      <c r="C8" s="456"/>
      <c r="D8" s="456"/>
      <c r="E8" s="456"/>
      <c r="F8" s="456"/>
      <c r="G8" s="456"/>
      <c r="H8" s="456"/>
      <c r="I8" s="457"/>
      <c r="J8" s="457"/>
      <c r="K8" s="456"/>
      <c r="L8" s="456"/>
      <c r="M8" s="458"/>
    </row>
    <row r="9" spans="1:15" ht="12" customHeight="1">
      <c r="A9" s="770" t="s">
        <v>396</v>
      </c>
      <c r="B9" s="771"/>
      <c r="C9" s="771"/>
      <c r="D9" s="771"/>
      <c r="E9" s="771"/>
      <c r="F9" s="771"/>
      <c r="G9" s="771"/>
      <c r="H9" s="771"/>
      <c r="I9" s="771"/>
      <c r="J9" s="771"/>
      <c r="K9" s="771"/>
      <c r="L9" s="771"/>
      <c r="M9" s="772"/>
    </row>
    <row r="10" spans="1:15" ht="12" customHeight="1">
      <c r="A10" s="773" t="s">
        <v>39</v>
      </c>
      <c r="B10" s="773"/>
      <c r="C10" s="773"/>
      <c r="D10" s="773" t="s">
        <v>40</v>
      </c>
      <c r="E10" s="773"/>
      <c r="F10" s="773"/>
      <c r="G10" s="467" t="s">
        <v>244</v>
      </c>
      <c r="H10" s="467" t="s">
        <v>99</v>
      </c>
      <c r="I10" s="434" t="s">
        <v>42</v>
      </c>
      <c r="J10" s="434" t="s">
        <v>38</v>
      </c>
      <c r="K10" s="467" t="s">
        <v>220</v>
      </c>
      <c r="L10" s="467" t="s">
        <v>385</v>
      </c>
      <c r="M10" s="467" t="s">
        <v>122</v>
      </c>
    </row>
    <row r="11" spans="1:15" ht="12" customHeight="1">
      <c r="A11" s="459">
        <f>A6</f>
        <v>0</v>
      </c>
      <c r="B11" s="459" t="str">
        <f t="shared" ref="B11:G11" si="0">B6</f>
        <v>+</v>
      </c>
      <c r="C11" s="460">
        <f t="shared" si="0"/>
        <v>0</v>
      </c>
      <c r="D11" s="459">
        <f t="shared" si="0"/>
        <v>1</v>
      </c>
      <c r="E11" s="460" t="str">
        <f t="shared" si="0"/>
        <v>+</v>
      </c>
      <c r="F11" s="460">
        <f t="shared" si="0"/>
        <v>10</v>
      </c>
      <c r="G11" s="460" t="str">
        <f t="shared" si="0"/>
        <v>ACESSO Á RUA PARANÁ</v>
      </c>
      <c r="H11" s="460" t="s">
        <v>43</v>
      </c>
      <c r="I11" s="532" t="s">
        <v>35</v>
      </c>
      <c r="J11" s="532" t="s">
        <v>35</v>
      </c>
      <c r="K11" s="461">
        <v>40</v>
      </c>
      <c r="L11" s="462" t="s">
        <v>35</v>
      </c>
      <c r="M11" s="463">
        <f>K11</f>
        <v>40</v>
      </c>
    </row>
    <row r="12" spans="1:15" s="25" customFormat="1" ht="12" customHeight="1">
      <c r="A12" s="774" t="s">
        <v>15</v>
      </c>
      <c r="B12" s="775"/>
      <c r="C12" s="775"/>
      <c r="D12" s="775"/>
      <c r="E12" s="775"/>
      <c r="F12" s="775"/>
      <c r="G12" s="775"/>
      <c r="H12" s="775"/>
      <c r="I12" s="775"/>
      <c r="J12" s="775"/>
      <c r="K12" s="775"/>
      <c r="L12" s="776"/>
      <c r="M12" s="464">
        <f>SUM(M11:M11)</f>
        <v>40</v>
      </c>
      <c r="O12" s="465"/>
    </row>
  </sheetData>
  <mergeCells count="14">
    <mergeCell ref="A9:M9"/>
    <mergeCell ref="A10:C10"/>
    <mergeCell ref="D10:F10"/>
    <mergeCell ref="A12:L12"/>
    <mergeCell ref="A1:C3"/>
    <mergeCell ref="D1:M1"/>
    <mergeCell ref="D2:H2"/>
    <mergeCell ref="I2:J2"/>
    <mergeCell ref="K2:L2"/>
    <mergeCell ref="D3:L3"/>
    <mergeCell ref="A4:M4"/>
    <mergeCell ref="A5:C5"/>
    <mergeCell ref="D5:F5"/>
    <mergeCell ref="A7:L7"/>
  </mergeCells>
  <printOptions horizontalCentered="1"/>
  <pageMargins left="0.78740157480314965" right="0.59055118110236227" top="0.59055118110236227" bottom="0.78740157480314965" header="0" footer="0.19685039370078741"/>
  <pageSetup paperSize="9" scale="76" fitToHeight="0" orientation="landscape" r:id="rId1"/>
  <headerFooter alignWithMargins="0">
    <oddFooter>&amp;CEng° Darcio Pagani Vieira
Crea/SC - 077.222-9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showGridLines="0" view="pageBreakPreview" zoomScale="130" zoomScaleSheetLayoutView="130" workbookViewId="0">
      <pane ySplit="3" topLeftCell="A10" activePane="bottomLeft" state="frozen"/>
      <selection activeCell="C19" sqref="C19"/>
      <selection pane="bottomLeft" activeCell="C19" sqref="C19"/>
    </sheetView>
  </sheetViews>
  <sheetFormatPr defaultRowHeight="12.75"/>
  <cols>
    <col min="1" max="1" width="4" style="229" customWidth="1"/>
    <col min="2" max="2" width="1.5703125" style="229" bestFit="1" customWidth="1"/>
    <col min="3" max="4" width="4" style="229" customWidth="1"/>
    <col min="5" max="5" width="1.5703125" style="229" bestFit="1" customWidth="1"/>
    <col min="6" max="6" width="4" style="229" customWidth="1"/>
    <col min="7" max="7" width="17.5703125" style="229" bestFit="1" customWidth="1"/>
    <col min="8" max="8" width="8" style="229" bestFit="1" customWidth="1"/>
    <col min="9" max="9" width="11.5703125" style="229" bestFit="1" customWidth="1"/>
    <col min="10" max="11" width="7.7109375" style="229" bestFit="1" customWidth="1"/>
    <col min="12" max="12" width="24.140625" style="229" bestFit="1" customWidth="1"/>
    <col min="13" max="13" width="18.5703125" style="229" customWidth="1"/>
    <col min="14" max="257" width="9.140625" style="229"/>
    <col min="258" max="263" width="4.85546875" style="229" customWidth="1"/>
    <col min="264" max="264" width="8.42578125" style="229" bestFit="1" customWidth="1"/>
    <col min="265" max="265" width="12.7109375" style="229" customWidth="1"/>
    <col min="266" max="266" width="15.42578125" style="229" bestFit="1" customWidth="1"/>
    <col min="267" max="269" width="12.7109375" style="229" customWidth="1"/>
    <col min="270" max="513" width="9.140625" style="229"/>
    <col min="514" max="519" width="4.85546875" style="229" customWidth="1"/>
    <col min="520" max="520" width="8.42578125" style="229" bestFit="1" customWidth="1"/>
    <col min="521" max="521" width="12.7109375" style="229" customWidth="1"/>
    <col min="522" max="522" width="15.42578125" style="229" bestFit="1" customWidth="1"/>
    <col min="523" max="525" width="12.7109375" style="229" customWidth="1"/>
    <col min="526" max="769" width="9.140625" style="229"/>
    <col min="770" max="775" width="4.85546875" style="229" customWidth="1"/>
    <col min="776" max="776" width="8.42578125" style="229" bestFit="1" customWidth="1"/>
    <col min="777" max="777" width="12.7109375" style="229" customWidth="1"/>
    <col min="778" max="778" width="15.42578125" style="229" bestFit="1" customWidth="1"/>
    <col min="779" max="781" width="12.7109375" style="229" customWidth="1"/>
    <col min="782" max="1025" width="9.140625" style="229"/>
    <col min="1026" max="1031" width="4.85546875" style="229" customWidth="1"/>
    <col min="1032" max="1032" width="8.42578125" style="229" bestFit="1" customWidth="1"/>
    <col min="1033" max="1033" width="12.7109375" style="229" customWidth="1"/>
    <col min="1034" max="1034" width="15.42578125" style="229" bestFit="1" customWidth="1"/>
    <col min="1035" max="1037" width="12.7109375" style="229" customWidth="1"/>
    <col min="1038" max="1281" width="9.140625" style="229"/>
    <col min="1282" max="1287" width="4.85546875" style="229" customWidth="1"/>
    <col min="1288" max="1288" width="8.42578125" style="229" bestFit="1" customWidth="1"/>
    <col min="1289" max="1289" width="12.7109375" style="229" customWidth="1"/>
    <col min="1290" max="1290" width="15.42578125" style="229" bestFit="1" customWidth="1"/>
    <col min="1291" max="1293" width="12.7109375" style="229" customWidth="1"/>
    <col min="1294" max="1537" width="9.140625" style="229"/>
    <col min="1538" max="1543" width="4.85546875" style="229" customWidth="1"/>
    <col min="1544" max="1544" width="8.42578125" style="229" bestFit="1" customWidth="1"/>
    <col min="1545" max="1545" width="12.7109375" style="229" customWidth="1"/>
    <col min="1546" max="1546" width="15.42578125" style="229" bestFit="1" customWidth="1"/>
    <col min="1547" max="1549" width="12.7109375" style="229" customWidth="1"/>
    <col min="1550" max="1793" width="9.140625" style="229"/>
    <col min="1794" max="1799" width="4.85546875" style="229" customWidth="1"/>
    <col min="1800" max="1800" width="8.42578125" style="229" bestFit="1" customWidth="1"/>
    <col min="1801" max="1801" width="12.7109375" style="229" customWidth="1"/>
    <col min="1802" max="1802" width="15.42578125" style="229" bestFit="1" customWidth="1"/>
    <col min="1803" max="1805" width="12.7109375" style="229" customWidth="1"/>
    <col min="1806" max="2049" width="9.140625" style="229"/>
    <col min="2050" max="2055" width="4.85546875" style="229" customWidth="1"/>
    <col min="2056" max="2056" width="8.42578125" style="229" bestFit="1" customWidth="1"/>
    <col min="2057" max="2057" width="12.7109375" style="229" customWidth="1"/>
    <col min="2058" max="2058" width="15.42578125" style="229" bestFit="1" customWidth="1"/>
    <col min="2059" max="2061" width="12.7109375" style="229" customWidth="1"/>
    <col min="2062" max="2305" width="9.140625" style="229"/>
    <col min="2306" max="2311" width="4.85546875" style="229" customWidth="1"/>
    <col min="2312" max="2312" width="8.42578125" style="229" bestFit="1" customWidth="1"/>
    <col min="2313" max="2313" width="12.7109375" style="229" customWidth="1"/>
    <col min="2314" max="2314" width="15.42578125" style="229" bestFit="1" customWidth="1"/>
    <col min="2315" max="2317" width="12.7109375" style="229" customWidth="1"/>
    <col min="2318" max="2561" width="9.140625" style="229"/>
    <col min="2562" max="2567" width="4.85546875" style="229" customWidth="1"/>
    <col min="2568" max="2568" width="8.42578125" style="229" bestFit="1" customWidth="1"/>
    <col min="2569" max="2569" width="12.7109375" style="229" customWidth="1"/>
    <col min="2570" max="2570" width="15.42578125" style="229" bestFit="1" customWidth="1"/>
    <col min="2571" max="2573" width="12.7109375" style="229" customWidth="1"/>
    <col min="2574" max="2817" width="9.140625" style="229"/>
    <col min="2818" max="2823" width="4.85546875" style="229" customWidth="1"/>
    <col min="2824" max="2824" width="8.42578125" style="229" bestFit="1" customWidth="1"/>
    <col min="2825" max="2825" width="12.7109375" style="229" customWidth="1"/>
    <col min="2826" max="2826" width="15.42578125" style="229" bestFit="1" customWidth="1"/>
    <col min="2827" max="2829" width="12.7109375" style="229" customWidth="1"/>
    <col min="2830" max="3073" width="9.140625" style="229"/>
    <col min="3074" max="3079" width="4.85546875" style="229" customWidth="1"/>
    <col min="3080" max="3080" width="8.42578125" style="229" bestFit="1" customWidth="1"/>
    <col min="3081" max="3081" width="12.7109375" style="229" customWidth="1"/>
    <col min="3082" max="3082" width="15.42578125" style="229" bestFit="1" customWidth="1"/>
    <col min="3083" max="3085" width="12.7109375" style="229" customWidth="1"/>
    <col min="3086" max="3329" width="9.140625" style="229"/>
    <col min="3330" max="3335" width="4.85546875" style="229" customWidth="1"/>
    <col min="3336" max="3336" width="8.42578125" style="229" bestFit="1" customWidth="1"/>
    <col min="3337" max="3337" width="12.7109375" style="229" customWidth="1"/>
    <col min="3338" max="3338" width="15.42578125" style="229" bestFit="1" customWidth="1"/>
    <col min="3339" max="3341" width="12.7109375" style="229" customWidth="1"/>
    <col min="3342" max="3585" width="9.140625" style="229"/>
    <col min="3586" max="3591" width="4.85546875" style="229" customWidth="1"/>
    <col min="3592" max="3592" width="8.42578125" style="229" bestFit="1" customWidth="1"/>
    <col min="3593" max="3593" width="12.7109375" style="229" customWidth="1"/>
    <col min="3594" max="3594" width="15.42578125" style="229" bestFit="1" customWidth="1"/>
    <col min="3595" max="3597" width="12.7109375" style="229" customWidth="1"/>
    <col min="3598" max="3841" width="9.140625" style="229"/>
    <col min="3842" max="3847" width="4.85546875" style="229" customWidth="1"/>
    <col min="3848" max="3848" width="8.42578125" style="229" bestFit="1" customWidth="1"/>
    <col min="3849" max="3849" width="12.7109375" style="229" customWidth="1"/>
    <col min="3850" max="3850" width="15.42578125" style="229" bestFit="1" customWidth="1"/>
    <col min="3851" max="3853" width="12.7109375" style="229" customWidth="1"/>
    <col min="3854" max="4097" width="9.140625" style="229"/>
    <col min="4098" max="4103" width="4.85546875" style="229" customWidth="1"/>
    <col min="4104" max="4104" width="8.42578125" style="229" bestFit="1" customWidth="1"/>
    <col min="4105" max="4105" width="12.7109375" style="229" customWidth="1"/>
    <col min="4106" max="4106" width="15.42578125" style="229" bestFit="1" customWidth="1"/>
    <col min="4107" max="4109" width="12.7109375" style="229" customWidth="1"/>
    <col min="4110" max="4353" width="9.140625" style="229"/>
    <col min="4354" max="4359" width="4.85546875" style="229" customWidth="1"/>
    <col min="4360" max="4360" width="8.42578125" style="229" bestFit="1" customWidth="1"/>
    <col min="4361" max="4361" width="12.7109375" style="229" customWidth="1"/>
    <col min="4362" max="4362" width="15.42578125" style="229" bestFit="1" customWidth="1"/>
    <col min="4363" max="4365" width="12.7109375" style="229" customWidth="1"/>
    <col min="4366" max="4609" width="9.140625" style="229"/>
    <col min="4610" max="4615" width="4.85546875" style="229" customWidth="1"/>
    <col min="4616" max="4616" width="8.42578125" style="229" bestFit="1" customWidth="1"/>
    <col min="4617" max="4617" width="12.7109375" style="229" customWidth="1"/>
    <col min="4618" max="4618" width="15.42578125" style="229" bestFit="1" customWidth="1"/>
    <col min="4619" max="4621" width="12.7109375" style="229" customWidth="1"/>
    <col min="4622" max="4865" width="9.140625" style="229"/>
    <col min="4866" max="4871" width="4.85546875" style="229" customWidth="1"/>
    <col min="4872" max="4872" width="8.42578125" style="229" bestFit="1" customWidth="1"/>
    <col min="4873" max="4873" width="12.7109375" style="229" customWidth="1"/>
    <col min="4874" max="4874" width="15.42578125" style="229" bestFit="1" customWidth="1"/>
    <col min="4875" max="4877" width="12.7109375" style="229" customWidth="1"/>
    <col min="4878" max="5121" width="9.140625" style="229"/>
    <col min="5122" max="5127" width="4.85546875" style="229" customWidth="1"/>
    <col min="5128" max="5128" width="8.42578125" style="229" bestFit="1" customWidth="1"/>
    <col min="5129" max="5129" width="12.7109375" style="229" customWidth="1"/>
    <col min="5130" max="5130" width="15.42578125" style="229" bestFit="1" customWidth="1"/>
    <col min="5131" max="5133" width="12.7109375" style="229" customWidth="1"/>
    <col min="5134" max="5377" width="9.140625" style="229"/>
    <col min="5378" max="5383" width="4.85546875" style="229" customWidth="1"/>
    <col min="5384" max="5384" width="8.42578125" style="229" bestFit="1" customWidth="1"/>
    <col min="5385" max="5385" width="12.7109375" style="229" customWidth="1"/>
    <col min="5386" max="5386" width="15.42578125" style="229" bestFit="1" customWidth="1"/>
    <col min="5387" max="5389" width="12.7109375" style="229" customWidth="1"/>
    <col min="5390" max="5633" width="9.140625" style="229"/>
    <col min="5634" max="5639" width="4.85546875" style="229" customWidth="1"/>
    <col min="5640" max="5640" width="8.42578125" style="229" bestFit="1" customWidth="1"/>
    <col min="5641" max="5641" width="12.7109375" style="229" customWidth="1"/>
    <col min="5642" max="5642" width="15.42578125" style="229" bestFit="1" customWidth="1"/>
    <col min="5643" max="5645" width="12.7109375" style="229" customWidth="1"/>
    <col min="5646" max="5889" width="9.140625" style="229"/>
    <col min="5890" max="5895" width="4.85546875" style="229" customWidth="1"/>
    <col min="5896" max="5896" width="8.42578125" style="229" bestFit="1" customWidth="1"/>
    <col min="5897" max="5897" width="12.7109375" style="229" customWidth="1"/>
    <col min="5898" max="5898" width="15.42578125" style="229" bestFit="1" customWidth="1"/>
    <col min="5899" max="5901" width="12.7109375" style="229" customWidth="1"/>
    <col min="5902" max="6145" width="9.140625" style="229"/>
    <col min="6146" max="6151" width="4.85546875" style="229" customWidth="1"/>
    <col min="6152" max="6152" width="8.42578125" style="229" bestFit="1" customWidth="1"/>
    <col min="6153" max="6153" width="12.7109375" style="229" customWidth="1"/>
    <col min="6154" max="6154" width="15.42578125" style="229" bestFit="1" customWidth="1"/>
    <col min="6155" max="6157" width="12.7109375" style="229" customWidth="1"/>
    <col min="6158" max="6401" width="9.140625" style="229"/>
    <col min="6402" max="6407" width="4.85546875" style="229" customWidth="1"/>
    <col min="6408" max="6408" width="8.42578125" style="229" bestFit="1" customWidth="1"/>
    <col min="6409" max="6409" width="12.7109375" style="229" customWidth="1"/>
    <col min="6410" max="6410" width="15.42578125" style="229" bestFit="1" customWidth="1"/>
    <col min="6411" max="6413" width="12.7109375" style="229" customWidth="1"/>
    <col min="6414" max="6657" width="9.140625" style="229"/>
    <col min="6658" max="6663" width="4.85546875" style="229" customWidth="1"/>
    <col min="6664" max="6664" width="8.42578125" style="229" bestFit="1" customWidth="1"/>
    <col min="6665" max="6665" width="12.7109375" style="229" customWidth="1"/>
    <col min="6666" max="6666" width="15.42578125" style="229" bestFit="1" customWidth="1"/>
    <col min="6667" max="6669" width="12.7109375" style="229" customWidth="1"/>
    <col min="6670" max="6913" width="9.140625" style="229"/>
    <col min="6914" max="6919" width="4.85546875" style="229" customWidth="1"/>
    <col min="6920" max="6920" width="8.42578125" style="229" bestFit="1" customWidth="1"/>
    <col min="6921" max="6921" width="12.7109375" style="229" customWidth="1"/>
    <col min="6922" max="6922" width="15.42578125" style="229" bestFit="1" customWidth="1"/>
    <col min="6923" max="6925" width="12.7109375" style="229" customWidth="1"/>
    <col min="6926" max="7169" width="9.140625" style="229"/>
    <col min="7170" max="7175" width="4.85546875" style="229" customWidth="1"/>
    <col min="7176" max="7176" width="8.42578125" style="229" bestFit="1" customWidth="1"/>
    <col min="7177" max="7177" width="12.7109375" style="229" customWidth="1"/>
    <col min="7178" max="7178" width="15.42578125" style="229" bestFit="1" customWidth="1"/>
    <col min="7179" max="7181" width="12.7109375" style="229" customWidth="1"/>
    <col min="7182" max="7425" width="9.140625" style="229"/>
    <col min="7426" max="7431" width="4.85546875" style="229" customWidth="1"/>
    <col min="7432" max="7432" width="8.42578125" style="229" bestFit="1" customWidth="1"/>
    <col min="7433" max="7433" width="12.7109375" style="229" customWidth="1"/>
    <col min="7434" max="7434" width="15.42578125" style="229" bestFit="1" customWidth="1"/>
    <col min="7435" max="7437" width="12.7109375" style="229" customWidth="1"/>
    <col min="7438" max="7681" width="9.140625" style="229"/>
    <col min="7682" max="7687" width="4.85546875" style="229" customWidth="1"/>
    <col min="7688" max="7688" width="8.42578125" style="229" bestFit="1" customWidth="1"/>
    <col min="7689" max="7689" width="12.7109375" style="229" customWidth="1"/>
    <col min="7690" max="7690" width="15.42578125" style="229" bestFit="1" customWidth="1"/>
    <col min="7691" max="7693" width="12.7109375" style="229" customWidth="1"/>
    <col min="7694" max="7937" width="9.140625" style="229"/>
    <col min="7938" max="7943" width="4.85546875" style="229" customWidth="1"/>
    <col min="7944" max="7944" width="8.42578125" style="229" bestFit="1" customWidth="1"/>
    <col min="7945" max="7945" width="12.7109375" style="229" customWidth="1"/>
    <col min="7946" max="7946" width="15.42578125" style="229" bestFit="1" customWidth="1"/>
    <col min="7947" max="7949" width="12.7109375" style="229" customWidth="1"/>
    <col min="7950" max="8193" width="9.140625" style="229"/>
    <col min="8194" max="8199" width="4.85546875" style="229" customWidth="1"/>
    <col min="8200" max="8200" width="8.42578125" style="229" bestFit="1" customWidth="1"/>
    <col min="8201" max="8201" width="12.7109375" style="229" customWidth="1"/>
    <col min="8202" max="8202" width="15.42578125" style="229" bestFit="1" customWidth="1"/>
    <col min="8203" max="8205" width="12.7109375" style="229" customWidth="1"/>
    <col min="8206" max="8449" width="9.140625" style="229"/>
    <col min="8450" max="8455" width="4.85546875" style="229" customWidth="1"/>
    <col min="8456" max="8456" width="8.42578125" style="229" bestFit="1" customWidth="1"/>
    <col min="8457" max="8457" width="12.7109375" style="229" customWidth="1"/>
    <col min="8458" max="8458" width="15.42578125" style="229" bestFit="1" customWidth="1"/>
    <col min="8459" max="8461" width="12.7109375" style="229" customWidth="1"/>
    <col min="8462" max="8705" width="9.140625" style="229"/>
    <col min="8706" max="8711" width="4.85546875" style="229" customWidth="1"/>
    <col min="8712" max="8712" width="8.42578125" style="229" bestFit="1" customWidth="1"/>
    <col min="8713" max="8713" width="12.7109375" style="229" customWidth="1"/>
    <col min="8714" max="8714" width="15.42578125" style="229" bestFit="1" customWidth="1"/>
    <col min="8715" max="8717" width="12.7109375" style="229" customWidth="1"/>
    <col min="8718" max="8961" width="9.140625" style="229"/>
    <col min="8962" max="8967" width="4.85546875" style="229" customWidth="1"/>
    <col min="8968" max="8968" width="8.42578125" style="229" bestFit="1" customWidth="1"/>
    <col min="8969" max="8969" width="12.7109375" style="229" customWidth="1"/>
    <col min="8970" max="8970" width="15.42578125" style="229" bestFit="1" customWidth="1"/>
    <col min="8971" max="8973" width="12.7109375" style="229" customWidth="1"/>
    <col min="8974" max="9217" width="9.140625" style="229"/>
    <col min="9218" max="9223" width="4.85546875" style="229" customWidth="1"/>
    <col min="9224" max="9224" width="8.42578125" style="229" bestFit="1" customWidth="1"/>
    <col min="9225" max="9225" width="12.7109375" style="229" customWidth="1"/>
    <col min="9226" max="9226" width="15.42578125" style="229" bestFit="1" customWidth="1"/>
    <col min="9227" max="9229" width="12.7109375" style="229" customWidth="1"/>
    <col min="9230" max="9473" width="9.140625" style="229"/>
    <col min="9474" max="9479" width="4.85546875" style="229" customWidth="1"/>
    <col min="9480" max="9480" width="8.42578125" style="229" bestFit="1" customWidth="1"/>
    <col min="9481" max="9481" width="12.7109375" style="229" customWidth="1"/>
    <col min="9482" max="9482" width="15.42578125" style="229" bestFit="1" customWidth="1"/>
    <col min="9483" max="9485" width="12.7109375" style="229" customWidth="1"/>
    <col min="9486" max="9729" width="9.140625" style="229"/>
    <col min="9730" max="9735" width="4.85546875" style="229" customWidth="1"/>
    <col min="9736" max="9736" width="8.42578125" style="229" bestFit="1" customWidth="1"/>
    <col min="9737" max="9737" width="12.7109375" style="229" customWidth="1"/>
    <col min="9738" max="9738" width="15.42578125" style="229" bestFit="1" customWidth="1"/>
    <col min="9739" max="9741" width="12.7109375" style="229" customWidth="1"/>
    <col min="9742" max="9985" width="9.140625" style="229"/>
    <col min="9986" max="9991" width="4.85546875" style="229" customWidth="1"/>
    <col min="9992" max="9992" width="8.42578125" style="229" bestFit="1" customWidth="1"/>
    <col min="9993" max="9993" width="12.7109375" style="229" customWidth="1"/>
    <col min="9994" max="9994" width="15.42578125" style="229" bestFit="1" customWidth="1"/>
    <col min="9995" max="9997" width="12.7109375" style="229" customWidth="1"/>
    <col min="9998" max="10241" width="9.140625" style="229"/>
    <col min="10242" max="10247" width="4.85546875" style="229" customWidth="1"/>
    <col min="10248" max="10248" width="8.42578125" style="229" bestFit="1" customWidth="1"/>
    <col min="10249" max="10249" width="12.7109375" style="229" customWidth="1"/>
    <col min="10250" max="10250" width="15.42578125" style="229" bestFit="1" customWidth="1"/>
    <col min="10251" max="10253" width="12.7109375" style="229" customWidth="1"/>
    <col min="10254" max="10497" width="9.140625" style="229"/>
    <col min="10498" max="10503" width="4.85546875" style="229" customWidth="1"/>
    <col min="10504" max="10504" width="8.42578125" style="229" bestFit="1" customWidth="1"/>
    <col min="10505" max="10505" width="12.7109375" style="229" customWidth="1"/>
    <col min="10506" max="10506" width="15.42578125" style="229" bestFit="1" customWidth="1"/>
    <col min="10507" max="10509" width="12.7109375" style="229" customWidth="1"/>
    <col min="10510" max="10753" width="9.140625" style="229"/>
    <col min="10754" max="10759" width="4.85546875" style="229" customWidth="1"/>
    <col min="10760" max="10760" width="8.42578125" style="229" bestFit="1" customWidth="1"/>
    <col min="10761" max="10761" width="12.7109375" style="229" customWidth="1"/>
    <col min="10762" max="10762" width="15.42578125" style="229" bestFit="1" customWidth="1"/>
    <col min="10763" max="10765" width="12.7109375" style="229" customWidth="1"/>
    <col min="10766" max="11009" width="9.140625" style="229"/>
    <col min="11010" max="11015" width="4.85546875" style="229" customWidth="1"/>
    <col min="11016" max="11016" width="8.42578125" style="229" bestFit="1" customWidth="1"/>
    <col min="11017" max="11017" width="12.7109375" style="229" customWidth="1"/>
    <col min="11018" max="11018" width="15.42578125" style="229" bestFit="1" customWidth="1"/>
    <col min="11019" max="11021" width="12.7109375" style="229" customWidth="1"/>
    <col min="11022" max="11265" width="9.140625" style="229"/>
    <col min="11266" max="11271" width="4.85546875" style="229" customWidth="1"/>
    <col min="11272" max="11272" width="8.42578125" style="229" bestFit="1" customWidth="1"/>
    <col min="11273" max="11273" width="12.7109375" style="229" customWidth="1"/>
    <col min="11274" max="11274" width="15.42578125" style="229" bestFit="1" customWidth="1"/>
    <col min="11275" max="11277" width="12.7109375" style="229" customWidth="1"/>
    <col min="11278" max="11521" width="9.140625" style="229"/>
    <col min="11522" max="11527" width="4.85546875" style="229" customWidth="1"/>
    <col min="11528" max="11528" width="8.42578125" style="229" bestFit="1" customWidth="1"/>
    <col min="11529" max="11529" width="12.7109375" style="229" customWidth="1"/>
    <col min="11530" max="11530" width="15.42578125" style="229" bestFit="1" customWidth="1"/>
    <col min="11531" max="11533" width="12.7109375" style="229" customWidth="1"/>
    <col min="11534" max="11777" width="9.140625" style="229"/>
    <col min="11778" max="11783" width="4.85546875" style="229" customWidth="1"/>
    <col min="11784" max="11784" width="8.42578125" style="229" bestFit="1" customWidth="1"/>
    <col min="11785" max="11785" width="12.7109375" style="229" customWidth="1"/>
    <col min="11786" max="11786" width="15.42578125" style="229" bestFit="1" customWidth="1"/>
    <col min="11787" max="11789" width="12.7109375" style="229" customWidth="1"/>
    <col min="11790" max="12033" width="9.140625" style="229"/>
    <col min="12034" max="12039" width="4.85546875" style="229" customWidth="1"/>
    <col min="12040" max="12040" width="8.42578125" style="229" bestFit="1" customWidth="1"/>
    <col min="12041" max="12041" width="12.7109375" style="229" customWidth="1"/>
    <col min="12042" max="12042" width="15.42578125" style="229" bestFit="1" customWidth="1"/>
    <col min="12043" max="12045" width="12.7109375" style="229" customWidth="1"/>
    <col min="12046" max="12289" width="9.140625" style="229"/>
    <col min="12290" max="12295" width="4.85546875" style="229" customWidth="1"/>
    <col min="12296" max="12296" width="8.42578125" style="229" bestFit="1" customWidth="1"/>
    <col min="12297" max="12297" width="12.7109375" style="229" customWidth="1"/>
    <col min="12298" max="12298" width="15.42578125" style="229" bestFit="1" customWidth="1"/>
    <col min="12299" max="12301" width="12.7109375" style="229" customWidth="1"/>
    <col min="12302" max="12545" width="9.140625" style="229"/>
    <col min="12546" max="12551" width="4.85546875" style="229" customWidth="1"/>
    <col min="12552" max="12552" width="8.42578125" style="229" bestFit="1" customWidth="1"/>
    <col min="12553" max="12553" width="12.7109375" style="229" customWidth="1"/>
    <col min="12554" max="12554" width="15.42578125" style="229" bestFit="1" customWidth="1"/>
    <col min="12555" max="12557" width="12.7109375" style="229" customWidth="1"/>
    <col min="12558" max="12801" width="9.140625" style="229"/>
    <col min="12802" max="12807" width="4.85546875" style="229" customWidth="1"/>
    <col min="12808" max="12808" width="8.42578125" style="229" bestFit="1" customWidth="1"/>
    <col min="12809" max="12809" width="12.7109375" style="229" customWidth="1"/>
    <col min="12810" max="12810" width="15.42578125" style="229" bestFit="1" customWidth="1"/>
    <col min="12811" max="12813" width="12.7109375" style="229" customWidth="1"/>
    <col min="12814" max="13057" width="9.140625" style="229"/>
    <col min="13058" max="13063" width="4.85546875" style="229" customWidth="1"/>
    <col min="13064" max="13064" width="8.42578125" style="229" bestFit="1" customWidth="1"/>
    <col min="13065" max="13065" width="12.7109375" style="229" customWidth="1"/>
    <col min="13066" max="13066" width="15.42578125" style="229" bestFit="1" customWidth="1"/>
    <col min="13067" max="13069" width="12.7109375" style="229" customWidth="1"/>
    <col min="13070" max="13313" width="9.140625" style="229"/>
    <col min="13314" max="13319" width="4.85546875" style="229" customWidth="1"/>
    <col min="13320" max="13320" width="8.42578125" style="229" bestFit="1" customWidth="1"/>
    <col min="13321" max="13321" width="12.7109375" style="229" customWidth="1"/>
    <col min="13322" max="13322" width="15.42578125" style="229" bestFit="1" customWidth="1"/>
    <col min="13323" max="13325" width="12.7109375" style="229" customWidth="1"/>
    <col min="13326" max="13569" width="9.140625" style="229"/>
    <col min="13570" max="13575" width="4.85546875" style="229" customWidth="1"/>
    <col min="13576" max="13576" width="8.42578125" style="229" bestFit="1" customWidth="1"/>
    <col min="13577" max="13577" width="12.7109375" style="229" customWidth="1"/>
    <col min="13578" max="13578" width="15.42578125" style="229" bestFit="1" customWidth="1"/>
    <col min="13579" max="13581" width="12.7109375" style="229" customWidth="1"/>
    <col min="13582" max="13825" width="9.140625" style="229"/>
    <col min="13826" max="13831" width="4.85546875" style="229" customWidth="1"/>
    <col min="13832" max="13832" width="8.42578125" style="229" bestFit="1" customWidth="1"/>
    <col min="13833" max="13833" width="12.7109375" style="229" customWidth="1"/>
    <col min="13834" max="13834" width="15.42578125" style="229" bestFit="1" customWidth="1"/>
    <col min="13835" max="13837" width="12.7109375" style="229" customWidth="1"/>
    <col min="13838" max="14081" width="9.140625" style="229"/>
    <col min="14082" max="14087" width="4.85546875" style="229" customWidth="1"/>
    <col min="14088" max="14088" width="8.42578125" style="229" bestFit="1" customWidth="1"/>
    <col min="14089" max="14089" width="12.7109375" style="229" customWidth="1"/>
    <col min="14090" max="14090" width="15.42578125" style="229" bestFit="1" customWidth="1"/>
    <col min="14091" max="14093" width="12.7109375" style="229" customWidth="1"/>
    <col min="14094" max="14337" width="9.140625" style="229"/>
    <col min="14338" max="14343" width="4.85546875" style="229" customWidth="1"/>
    <col min="14344" max="14344" width="8.42578125" style="229" bestFit="1" customWidth="1"/>
    <col min="14345" max="14345" width="12.7109375" style="229" customWidth="1"/>
    <col min="14346" max="14346" width="15.42578125" style="229" bestFit="1" customWidth="1"/>
    <col min="14347" max="14349" width="12.7109375" style="229" customWidth="1"/>
    <col min="14350" max="14593" width="9.140625" style="229"/>
    <col min="14594" max="14599" width="4.85546875" style="229" customWidth="1"/>
    <col min="14600" max="14600" width="8.42578125" style="229" bestFit="1" customWidth="1"/>
    <col min="14601" max="14601" width="12.7109375" style="229" customWidth="1"/>
    <col min="14602" max="14602" width="15.42578125" style="229" bestFit="1" customWidth="1"/>
    <col min="14603" max="14605" width="12.7109375" style="229" customWidth="1"/>
    <col min="14606" max="14849" width="9.140625" style="229"/>
    <col min="14850" max="14855" width="4.85546875" style="229" customWidth="1"/>
    <col min="14856" max="14856" width="8.42578125" style="229" bestFit="1" customWidth="1"/>
    <col min="14857" max="14857" width="12.7109375" style="229" customWidth="1"/>
    <col min="14858" max="14858" width="15.42578125" style="229" bestFit="1" customWidth="1"/>
    <col min="14859" max="14861" width="12.7109375" style="229" customWidth="1"/>
    <col min="14862" max="15105" width="9.140625" style="229"/>
    <col min="15106" max="15111" width="4.85546875" style="229" customWidth="1"/>
    <col min="15112" max="15112" width="8.42578125" style="229" bestFit="1" customWidth="1"/>
    <col min="15113" max="15113" width="12.7109375" style="229" customWidth="1"/>
    <col min="15114" max="15114" width="15.42578125" style="229" bestFit="1" customWidth="1"/>
    <col min="15115" max="15117" width="12.7109375" style="229" customWidth="1"/>
    <col min="15118" max="15361" width="9.140625" style="229"/>
    <col min="15362" max="15367" width="4.85546875" style="229" customWidth="1"/>
    <col min="15368" max="15368" width="8.42578125" style="229" bestFit="1" customWidth="1"/>
    <col min="15369" max="15369" width="12.7109375" style="229" customWidth="1"/>
    <col min="15370" max="15370" width="15.42578125" style="229" bestFit="1" customWidth="1"/>
    <col min="15371" max="15373" width="12.7109375" style="229" customWidth="1"/>
    <col min="15374" max="15617" width="9.140625" style="229"/>
    <col min="15618" max="15623" width="4.85546875" style="229" customWidth="1"/>
    <col min="15624" max="15624" width="8.42578125" style="229" bestFit="1" customWidth="1"/>
    <col min="15625" max="15625" width="12.7109375" style="229" customWidth="1"/>
    <col min="15626" max="15626" width="15.42578125" style="229" bestFit="1" customWidth="1"/>
    <col min="15627" max="15629" width="12.7109375" style="229" customWidth="1"/>
    <col min="15630" max="15873" width="9.140625" style="229"/>
    <col min="15874" max="15879" width="4.85546875" style="229" customWidth="1"/>
    <col min="15880" max="15880" width="8.42578125" style="229" bestFit="1" customWidth="1"/>
    <col min="15881" max="15881" width="12.7109375" style="229" customWidth="1"/>
    <col min="15882" max="15882" width="15.42578125" style="229" bestFit="1" customWidth="1"/>
    <col min="15883" max="15885" width="12.7109375" style="229" customWidth="1"/>
    <col min="15886" max="16129" width="9.140625" style="229"/>
    <col min="16130" max="16135" width="4.85546875" style="229" customWidth="1"/>
    <col min="16136" max="16136" width="8.42578125" style="229" bestFit="1" customWidth="1"/>
    <col min="16137" max="16137" width="12.7109375" style="229" customWidth="1"/>
    <col min="16138" max="16138" width="15.42578125" style="229" bestFit="1" customWidth="1"/>
    <col min="16139" max="16141" width="12.7109375" style="229" customWidth="1"/>
    <col min="16142" max="16384" width="9.140625" style="229"/>
  </cols>
  <sheetData>
    <row r="1" spans="1:15" ht="21" customHeight="1">
      <c r="A1" s="796"/>
      <c r="B1" s="796"/>
      <c r="C1" s="796"/>
      <c r="D1" s="796" t="s">
        <v>265</v>
      </c>
      <c r="E1" s="796"/>
      <c r="F1" s="796"/>
      <c r="G1" s="796"/>
      <c r="H1" s="796"/>
      <c r="I1" s="796"/>
      <c r="J1" s="796"/>
      <c r="K1" s="796"/>
      <c r="L1" s="796"/>
      <c r="M1" s="796"/>
    </row>
    <row r="2" spans="1:15" ht="12.75" customHeight="1">
      <c r="A2" s="796"/>
      <c r="B2" s="796"/>
      <c r="C2" s="796"/>
      <c r="D2" s="797" t="str">
        <f>PAVIM.!G2</f>
        <v>PREFEITURA MUNICIPAL DE MARACAJÁ</v>
      </c>
      <c r="E2" s="797"/>
      <c r="F2" s="797"/>
      <c r="G2" s="797"/>
      <c r="H2" s="797"/>
      <c r="I2" s="766" t="str">
        <f>PAVIM.!H2</f>
        <v>BAIRRO: ESPIGÃO GRANDE</v>
      </c>
      <c r="J2" s="766"/>
      <c r="K2" s="766"/>
      <c r="L2" s="550" t="str">
        <f>PAVIM.!K2</f>
        <v>MUNICIPIO: MARACAJÁ</v>
      </c>
      <c r="M2" s="242" t="str">
        <f>PAVIM.!M2</f>
        <v>ESTADO: SANTA CATARINA</v>
      </c>
    </row>
    <row r="3" spans="1:15" ht="12.75" customHeight="1">
      <c r="A3" s="796"/>
      <c r="B3" s="796"/>
      <c r="C3" s="796"/>
      <c r="D3" s="765" t="str">
        <f>PAVIM.!G3</f>
        <v>RUA PARANÁ - TRECHO 01</v>
      </c>
      <c r="E3" s="765"/>
      <c r="F3" s="765"/>
      <c r="G3" s="765"/>
      <c r="H3" s="765"/>
      <c r="I3" s="765"/>
      <c r="J3" s="765"/>
      <c r="K3" s="765"/>
      <c r="L3" s="765"/>
      <c r="M3" s="242" t="str">
        <f ca="1">PAVIM.!M3</f>
        <v>DATA: 12/08/26</v>
      </c>
    </row>
    <row r="4" spans="1:15" ht="12.75" customHeight="1">
      <c r="A4" s="264"/>
      <c r="B4" s="230"/>
      <c r="C4" s="230"/>
      <c r="D4" s="230"/>
      <c r="E4" s="230"/>
      <c r="F4" s="230"/>
      <c r="G4" s="230"/>
      <c r="H4" s="230"/>
      <c r="I4" s="230"/>
      <c r="J4" s="231"/>
      <c r="K4" s="231"/>
      <c r="L4" s="231"/>
      <c r="M4" s="265"/>
    </row>
    <row r="5" spans="1:15">
      <c r="A5" s="795" t="s">
        <v>108</v>
      </c>
      <c r="B5" s="795"/>
      <c r="C5" s="795"/>
      <c r="D5" s="795"/>
      <c r="E5" s="795"/>
      <c r="F5" s="795"/>
      <c r="G5" s="795"/>
      <c r="H5" s="795"/>
      <c r="I5" s="795"/>
      <c r="J5" s="795"/>
      <c r="K5" s="795"/>
      <c r="L5" s="795"/>
      <c r="M5" s="795"/>
    </row>
    <row r="6" spans="1:15" ht="13.5" customHeight="1">
      <c r="A6" s="795" t="s">
        <v>116</v>
      </c>
      <c r="B6" s="795"/>
      <c r="C6" s="795"/>
      <c r="D6" s="795" t="s">
        <v>40</v>
      </c>
      <c r="E6" s="795"/>
      <c r="F6" s="795"/>
      <c r="G6" s="237" t="s">
        <v>244</v>
      </c>
      <c r="H6" s="238" t="s">
        <v>402</v>
      </c>
      <c r="I6" s="238" t="s">
        <v>42</v>
      </c>
      <c r="J6" s="238" t="s">
        <v>38</v>
      </c>
      <c r="K6" s="238" t="s">
        <v>112</v>
      </c>
      <c r="L6" s="238" t="s">
        <v>110</v>
      </c>
      <c r="M6" s="238" t="s">
        <v>399</v>
      </c>
    </row>
    <row r="7" spans="1:15" s="233" customFormat="1">
      <c r="A7" s="200">
        <f>PAVIM.!A7</f>
        <v>0</v>
      </c>
      <c r="B7" s="200" t="str">
        <f>PAVIM.!B7</f>
        <v>+</v>
      </c>
      <c r="C7" s="201">
        <f>PAVIM.!C7</f>
        <v>0</v>
      </c>
      <c r="D7" s="200">
        <f>PAVIM.!D7</f>
        <v>1</v>
      </c>
      <c r="E7" s="200" t="str">
        <f>PAVIM.!E7</f>
        <v>+</v>
      </c>
      <c r="F7" s="201">
        <f>PAVIM.!F7</f>
        <v>10</v>
      </c>
      <c r="G7" s="535" t="str">
        <f>PAVIM.!G7</f>
        <v>ACESSO Á RUA PARANÁ</v>
      </c>
      <c r="H7" s="200">
        <v>1</v>
      </c>
      <c r="I7" s="232">
        <f t="shared" ref="I7:I8" si="0">(D7*20+F7)-(A7*20+C7)</f>
        <v>30</v>
      </c>
      <c r="J7" s="201">
        <v>0.1</v>
      </c>
      <c r="K7" s="200">
        <v>3</v>
      </c>
      <c r="L7" s="202" t="s">
        <v>393</v>
      </c>
      <c r="M7" s="263">
        <f>TRUNC(I7*K7,2)</f>
        <v>90</v>
      </c>
    </row>
    <row r="8" spans="1:15" s="233" customFormat="1">
      <c r="A8" s="200">
        <f>PAVIM.!A8</f>
        <v>1</v>
      </c>
      <c r="B8" s="200" t="str">
        <f>PAVIM.!B8</f>
        <v>+</v>
      </c>
      <c r="C8" s="201">
        <f>PAVIM.!C8</f>
        <v>0</v>
      </c>
      <c r="D8" s="200">
        <f>PAVIM.!D8</f>
        <v>30</v>
      </c>
      <c r="E8" s="200" t="str">
        <f>PAVIM.!E8</f>
        <v>+</v>
      </c>
      <c r="F8" s="201">
        <f>PAVIM.!F8</f>
        <v>0</v>
      </c>
      <c r="G8" s="496" t="str">
        <f>PAVIM.!G8</f>
        <v>RUA PARANÁ</v>
      </c>
      <c r="H8" s="200">
        <v>1</v>
      </c>
      <c r="I8" s="232">
        <f t="shared" si="0"/>
        <v>580</v>
      </c>
      <c r="J8" s="201">
        <v>0.1</v>
      </c>
      <c r="K8" s="200">
        <v>3</v>
      </c>
      <c r="L8" s="202" t="s">
        <v>393</v>
      </c>
      <c r="M8" s="263">
        <f>TRUNC(I8*K8,2)</f>
        <v>1740</v>
      </c>
    </row>
    <row r="9" spans="1:15" s="27" customFormat="1" ht="13.5" customHeight="1">
      <c r="A9" s="760"/>
      <c r="B9" s="760"/>
      <c r="C9" s="760"/>
      <c r="D9" s="760"/>
      <c r="E9" s="760"/>
      <c r="F9" s="760"/>
      <c r="G9" s="760"/>
      <c r="H9" s="760"/>
      <c r="I9" s="760"/>
      <c r="J9" s="760"/>
      <c r="K9" s="760"/>
      <c r="L9" s="760"/>
      <c r="M9" s="198">
        <f>SUM(M7:M8)</f>
        <v>1830</v>
      </c>
      <c r="O9" s="234"/>
    </row>
    <row r="10" spans="1:15" s="233" customFormat="1">
      <c r="A10" s="264"/>
      <c r="B10" s="230"/>
      <c r="C10" s="230"/>
      <c r="D10" s="230"/>
      <c r="E10" s="230"/>
      <c r="F10" s="230"/>
      <c r="G10" s="230"/>
      <c r="H10" s="230"/>
      <c r="I10" s="230"/>
      <c r="J10" s="231"/>
      <c r="K10" s="231"/>
      <c r="L10" s="231"/>
      <c r="M10" s="265"/>
    </row>
    <row r="11" spans="1:15">
      <c r="A11" s="795" t="s">
        <v>400</v>
      </c>
      <c r="B11" s="795"/>
      <c r="C11" s="795"/>
      <c r="D11" s="795"/>
      <c r="E11" s="795"/>
      <c r="F11" s="795"/>
      <c r="G11" s="795"/>
      <c r="H11" s="795"/>
      <c r="I11" s="795"/>
      <c r="J11" s="795"/>
      <c r="K11" s="795"/>
      <c r="L11" s="795"/>
      <c r="M11" s="795"/>
    </row>
    <row r="12" spans="1:15" ht="13.5" customHeight="1">
      <c r="A12" s="795" t="s">
        <v>116</v>
      </c>
      <c r="B12" s="795"/>
      <c r="C12" s="795"/>
      <c r="D12" s="795" t="s">
        <v>40</v>
      </c>
      <c r="E12" s="795"/>
      <c r="F12" s="795"/>
      <c r="G12" s="422" t="s">
        <v>244</v>
      </c>
      <c r="H12" s="473" t="s">
        <v>402</v>
      </c>
      <c r="I12" s="423" t="s">
        <v>42</v>
      </c>
      <c r="J12" s="423" t="s">
        <v>38</v>
      </c>
      <c r="K12" s="423" t="s">
        <v>112</v>
      </c>
      <c r="L12" s="423" t="s">
        <v>110</v>
      </c>
      <c r="M12" s="423" t="s">
        <v>109</v>
      </c>
    </row>
    <row r="13" spans="1:15" s="233" customFormat="1">
      <c r="A13" s="200">
        <f>PAVIM.!A59</f>
        <v>20</v>
      </c>
      <c r="B13" s="200" t="str">
        <f>PAVIM.!B59</f>
        <v>+</v>
      </c>
      <c r="C13" s="201">
        <f>PAVIM.!C59</f>
        <v>6.3</v>
      </c>
      <c r="D13" s="200">
        <f>PAVIM.!D59</f>
        <v>20</v>
      </c>
      <c r="E13" s="200" t="str">
        <f>PAVIM.!E59</f>
        <v>+</v>
      </c>
      <c r="F13" s="201">
        <f>PAVIM.!F59</f>
        <v>10</v>
      </c>
      <c r="G13" s="552" t="str">
        <f>PAVIM.!G59</f>
        <v>LOMBADA</v>
      </c>
      <c r="H13" s="200">
        <v>1</v>
      </c>
      <c r="I13" s="232">
        <f>PAVIM.!I59</f>
        <v>3.6999999999999886</v>
      </c>
      <c r="J13" s="201">
        <v>0.3</v>
      </c>
      <c r="K13" s="200">
        <v>2</v>
      </c>
      <c r="L13" s="202" t="s">
        <v>427</v>
      </c>
      <c r="M13" s="263">
        <f t="shared" ref="M13" si="1">TRUNC(H13*I13*J13*K13,2)</f>
        <v>2.21</v>
      </c>
    </row>
    <row r="14" spans="1:15" s="27" customFormat="1" ht="13.5" customHeight="1">
      <c r="A14" s="760" t="s">
        <v>15</v>
      </c>
      <c r="B14" s="760"/>
      <c r="C14" s="760"/>
      <c r="D14" s="760"/>
      <c r="E14" s="760"/>
      <c r="F14" s="760"/>
      <c r="G14" s="760"/>
      <c r="H14" s="760"/>
      <c r="I14" s="760"/>
      <c r="J14" s="760"/>
      <c r="K14" s="760"/>
      <c r="L14" s="760"/>
      <c r="M14" s="198">
        <f>SUM(M13:M13)</f>
        <v>2.21</v>
      </c>
      <c r="O14" s="234"/>
    </row>
    <row r="15" spans="1:15" ht="12.75" customHeight="1">
      <c r="A15" s="264"/>
      <c r="B15" s="230"/>
      <c r="C15" s="230"/>
      <c r="D15" s="230"/>
      <c r="E15" s="230"/>
      <c r="F15" s="230"/>
      <c r="G15" s="230"/>
      <c r="H15" s="230"/>
      <c r="I15" s="230"/>
      <c r="J15" s="231"/>
      <c r="K15" s="231"/>
      <c r="L15" s="231"/>
      <c r="M15" s="265"/>
    </row>
    <row r="16" spans="1:15">
      <c r="A16" s="798" t="s">
        <v>363</v>
      </c>
      <c r="B16" s="799"/>
      <c r="C16" s="799"/>
      <c r="D16" s="799"/>
      <c r="E16" s="799"/>
      <c r="F16" s="799"/>
      <c r="G16" s="799"/>
      <c r="H16" s="799"/>
      <c r="I16" s="799"/>
      <c r="J16" s="799"/>
      <c r="K16" s="799"/>
      <c r="L16" s="799"/>
      <c r="M16" s="800"/>
    </row>
    <row r="17" spans="1:15" ht="13.5" customHeight="1">
      <c r="A17" s="798" t="s">
        <v>116</v>
      </c>
      <c r="B17" s="799"/>
      <c r="C17" s="800"/>
      <c r="D17" s="798" t="s">
        <v>40</v>
      </c>
      <c r="E17" s="799"/>
      <c r="F17" s="800"/>
      <c r="G17" s="389" t="s">
        <v>244</v>
      </c>
      <c r="H17" s="533" t="s">
        <v>112</v>
      </c>
      <c r="I17" s="390" t="s">
        <v>42</v>
      </c>
      <c r="J17" s="390" t="s">
        <v>38</v>
      </c>
      <c r="K17" s="390" t="s">
        <v>364</v>
      </c>
      <c r="L17" s="390" t="s">
        <v>110</v>
      </c>
      <c r="M17" s="390" t="s">
        <v>111</v>
      </c>
    </row>
    <row r="18" spans="1:15" s="233" customFormat="1">
      <c r="A18" s="200">
        <f t="shared" ref="A18:G19" si="2">A7</f>
        <v>0</v>
      </c>
      <c r="B18" s="200" t="str">
        <f t="shared" si="2"/>
        <v>+</v>
      </c>
      <c r="C18" s="201">
        <f t="shared" si="2"/>
        <v>0</v>
      </c>
      <c r="D18" s="200">
        <f t="shared" si="2"/>
        <v>1</v>
      </c>
      <c r="E18" s="200" t="str">
        <f t="shared" si="2"/>
        <v>+</v>
      </c>
      <c r="F18" s="201">
        <f t="shared" si="2"/>
        <v>10</v>
      </c>
      <c r="G18" s="535" t="str">
        <f t="shared" si="2"/>
        <v>ACESSO Á RUA PARANÁ</v>
      </c>
      <c r="H18" s="200">
        <v>1</v>
      </c>
      <c r="I18" s="232">
        <f>I7</f>
        <v>30</v>
      </c>
      <c r="J18" s="201" t="s">
        <v>35</v>
      </c>
      <c r="K18" s="200">
        <v>6</v>
      </c>
      <c r="L18" s="202" t="s">
        <v>393</v>
      </c>
      <c r="M18" s="262">
        <f t="shared" ref="M18" si="3">ROUNDUP(I18*H18/K18,0)</f>
        <v>5</v>
      </c>
    </row>
    <row r="19" spans="1:15" s="233" customFormat="1">
      <c r="A19" s="200">
        <f t="shared" si="2"/>
        <v>1</v>
      </c>
      <c r="B19" s="200" t="str">
        <f t="shared" si="2"/>
        <v>+</v>
      </c>
      <c r="C19" s="201">
        <f t="shared" si="2"/>
        <v>0</v>
      </c>
      <c r="D19" s="200">
        <f t="shared" si="2"/>
        <v>30</v>
      </c>
      <c r="E19" s="200" t="str">
        <f t="shared" si="2"/>
        <v>+</v>
      </c>
      <c r="F19" s="201">
        <f t="shared" si="2"/>
        <v>0</v>
      </c>
      <c r="G19" s="496" t="str">
        <f t="shared" si="2"/>
        <v>RUA PARANÁ</v>
      </c>
      <c r="H19" s="200">
        <v>1</v>
      </c>
      <c r="I19" s="232">
        <f>I8</f>
        <v>580</v>
      </c>
      <c r="J19" s="201" t="s">
        <v>35</v>
      </c>
      <c r="K19" s="200">
        <v>6</v>
      </c>
      <c r="L19" s="202" t="s">
        <v>393</v>
      </c>
      <c r="M19" s="262">
        <f t="shared" ref="M19" si="4">ROUNDUP(I19*H19/K19,0)</f>
        <v>97</v>
      </c>
    </row>
    <row r="20" spans="1:15" s="27" customFormat="1" ht="13.5" customHeight="1">
      <c r="A20" s="801" t="s">
        <v>15</v>
      </c>
      <c r="B20" s="802"/>
      <c r="C20" s="802"/>
      <c r="D20" s="802"/>
      <c r="E20" s="802"/>
      <c r="F20" s="802"/>
      <c r="G20" s="802"/>
      <c r="H20" s="802"/>
      <c r="I20" s="802"/>
      <c r="J20" s="802"/>
      <c r="K20" s="802"/>
      <c r="L20" s="803"/>
      <c r="M20" s="327">
        <f>SUM(M18:M19)</f>
        <v>102</v>
      </c>
      <c r="O20" s="234"/>
    </row>
    <row r="21" spans="1:15" s="233" customFormat="1">
      <c r="A21" s="264"/>
      <c r="B21" s="230"/>
      <c r="C21" s="230"/>
      <c r="D21" s="230"/>
      <c r="E21" s="230"/>
      <c r="F21" s="230"/>
      <c r="G21" s="230"/>
      <c r="H21" s="230"/>
      <c r="I21" s="230"/>
      <c r="J21" s="231"/>
      <c r="K21" s="231"/>
      <c r="L21" s="231"/>
      <c r="M21" s="265"/>
    </row>
    <row r="22" spans="1:15" s="233" customFormat="1">
      <c r="A22" s="795" t="s">
        <v>115</v>
      </c>
      <c r="B22" s="795"/>
      <c r="C22" s="795"/>
      <c r="D22" s="795"/>
      <c r="E22" s="795"/>
      <c r="F22" s="795"/>
      <c r="G22" s="795"/>
      <c r="H22" s="795"/>
      <c r="I22" s="795"/>
      <c r="J22" s="795"/>
      <c r="K22" s="795"/>
      <c r="L22" s="795"/>
      <c r="M22" s="795"/>
    </row>
    <row r="23" spans="1:15" s="233" customFormat="1">
      <c r="A23" s="795" t="s">
        <v>116</v>
      </c>
      <c r="B23" s="795"/>
      <c r="C23" s="795"/>
      <c r="D23" s="795" t="s">
        <v>40</v>
      </c>
      <c r="E23" s="795"/>
      <c r="F23" s="795"/>
      <c r="G23" s="422" t="s">
        <v>244</v>
      </c>
      <c r="H23" s="473" t="s">
        <v>402</v>
      </c>
      <c r="I23" s="423" t="s">
        <v>42</v>
      </c>
      <c r="J23" s="423" t="s">
        <v>38</v>
      </c>
      <c r="K23" s="423" t="s">
        <v>99</v>
      </c>
      <c r="L23" s="423" t="s">
        <v>110</v>
      </c>
      <c r="M23" s="423" t="s">
        <v>111</v>
      </c>
    </row>
    <row r="24" spans="1:15" s="233" customFormat="1">
      <c r="A24" s="200">
        <v>0</v>
      </c>
      <c r="B24" s="200" t="s">
        <v>41</v>
      </c>
      <c r="C24" s="201">
        <f>C19</f>
        <v>0</v>
      </c>
      <c r="D24" s="200">
        <v>0</v>
      </c>
      <c r="E24" s="200" t="s">
        <v>41</v>
      </c>
      <c r="F24" s="201">
        <v>0</v>
      </c>
      <c r="G24" s="496" t="str">
        <f>G19</f>
        <v>RUA PARANÁ</v>
      </c>
      <c r="H24" s="203">
        <v>1</v>
      </c>
      <c r="I24" s="201">
        <v>0.6</v>
      </c>
      <c r="J24" s="201">
        <v>0.6</v>
      </c>
      <c r="K24" s="535" t="s">
        <v>97</v>
      </c>
      <c r="L24" s="202" t="s">
        <v>384</v>
      </c>
      <c r="M24" s="262">
        <f>H24</f>
        <v>1</v>
      </c>
    </row>
    <row r="25" spans="1:15" s="233" customFormat="1">
      <c r="A25" s="200">
        <v>21</v>
      </c>
      <c r="B25" s="200" t="s">
        <v>41</v>
      </c>
      <c r="C25" s="201">
        <v>0</v>
      </c>
      <c r="D25" s="200">
        <v>21</v>
      </c>
      <c r="E25" s="200" t="s">
        <v>41</v>
      </c>
      <c r="F25" s="201">
        <v>0</v>
      </c>
      <c r="G25" s="496" t="str">
        <f>G24</f>
        <v>RUA PARANÁ</v>
      </c>
      <c r="H25" s="203">
        <v>1</v>
      </c>
      <c r="I25" s="201">
        <v>0.6</v>
      </c>
      <c r="J25" s="201">
        <v>0.6</v>
      </c>
      <c r="K25" s="496" t="s">
        <v>97</v>
      </c>
      <c r="L25" s="202" t="s">
        <v>384</v>
      </c>
      <c r="M25" s="262">
        <f>H25</f>
        <v>1</v>
      </c>
    </row>
    <row r="26" spans="1:15" s="233" customFormat="1">
      <c r="A26" s="200">
        <v>29</v>
      </c>
      <c r="B26" s="200" t="s">
        <v>41</v>
      </c>
      <c r="C26" s="201">
        <v>10</v>
      </c>
      <c r="D26" s="200">
        <v>29</v>
      </c>
      <c r="E26" s="200" t="s">
        <v>41</v>
      </c>
      <c r="F26" s="201">
        <v>10</v>
      </c>
      <c r="G26" s="496" t="str">
        <f>G25</f>
        <v>RUA PARANÁ</v>
      </c>
      <c r="H26" s="203">
        <v>1</v>
      </c>
      <c r="I26" s="201">
        <v>0.6</v>
      </c>
      <c r="J26" s="201">
        <v>0.6</v>
      </c>
      <c r="K26" s="535" t="s">
        <v>97</v>
      </c>
      <c r="L26" s="202" t="s">
        <v>384</v>
      </c>
      <c r="M26" s="262">
        <f>H26</f>
        <v>1</v>
      </c>
    </row>
    <row r="27" spans="1:15" s="27" customFormat="1" ht="13.5" customHeight="1">
      <c r="A27" s="760" t="s">
        <v>15</v>
      </c>
      <c r="B27" s="760"/>
      <c r="C27" s="760"/>
      <c r="D27" s="760"/>
      <c r="E27" s="760"/>
      <c r="F27" s="760"/>
      <c r="G27" s="760"/>
      <c r="H27" s="760"/>
      <c r="I27" s="760"/>
      <c r="J27" s="760"/>
      <c r="K27" s="760"/>
      <c r="L27" s="760"/>
      <c r="M27" s="327">
        <f>SUM(M24:M26)</f>
        <v>3</v>
      </c>
      <c r="O27" s="234"/>
    </row>
    <row r="28" spans="1:15">
      <c r="A28" s="264"/>
      <c r="B28" s="544"/>
      <c r="C28" s="544"/>
      <c r="D28" s="544"/>
      <c r="E28" s="544"/>
      <c r="F28" s="544"/>
      <c r="G28" s="544"/>
      <c r="H28" s="544"/>
      <c r="I28" s="544"/>
      <c r="J28" s="545"/>
      <c r="K28" s="545"/>
      <c r="L28" s="545"/>
      <c r="M28" s="265"/>
    </row>
    <row r="29" spans="1:15">
      <c r="A29" s="795" t="s">
        <v>418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  <c r="L29" s="795"/>
      <c r="M29" s="795"/>
    </row>
    <row r="30" spans="1:15">
      <c r="A30" s="795" t="s">
        <v>116</v>
      </c>
      <c r="B30" s="795"/>
      <c r="C30" s="795"/>
      <c r="D30" s="795" t="s">
        <v>40</v>
      </c>
      <c r="E30" s="795"/>
      <c r="F30" s="795"/>
      <c r="G30" s="536" t="s">
        <v>244</v>
      </c>
      <c r="H30" s="538" t="s">
        <v>3</v>
      </c>
      <c r="I30" s="538" t="s">
        <v>42</v>
      </c>
      <c r="J30" s="538" t="s">
        <v>38</v>
      </c>
      <c r="K30" s="538" t="s">
        <v>99</v>
      </c>
      <c r="L30" s="538" t="s">
        <v>110</v>
      </c>
      <c r="M30" s="538" t="s">
        <v>111</v>
      </c>
    </row>
    <row r="31" spans="1:15">
      <c r="A31" s="459">
        <v>15</v>
      </c>
      <c r="B31" s="459" t="s">
        <v>41</v>
      </c>
      <c r="C31" s="460">
        <v>10</v>
      </c>
      <c r="D31" s="459">
        <v>15</v>
      </c>
      <c r="E31" s="460" t="s">
        <v>41</v>
      </c>
      <c r="F31" s="460">
        <v>10</v>
      </c>
      <c r="G31" s="460" t="str">
        <f>G24</f>
        <v>RUA PARANÁ</v>
      </c>
      <c r="H31" s="546">
        <v>1</v>
      </c>
      <c r="I31" s="547">
        <v>0.6</v>
      </c>
      <c r="J31" s="547">
        <v>0.6</v>
      </c>
      <c r="K31" s="460" t="s">
        <v>98</v>
      </c>
      <c r="L31" s="548" t="s">
        <v>420</v>
      </c>
      <c r="M31" s="549">
        <f t="shared" ref="M31:M33" si="5">H31</f>
        <v>1</v>
      </c>
    </row>
    <row r="32" spans="1:15">
      <c r="A32" s="459">
        <v>18</v>
      </c>
      <c r="B32" s="459" t="s">
        <v>41</v>
      </c>
      <c r="C32" s="460">
        <v>0</v>
      </c>
      <c r="D32" s="459">
        <v>18</v>
      </c>
      <c r="E32" s="460" t="s">
        <v>41</v>
      </c>
      <c r="F32" s="460">
        <v>0</v>
      </c>
      <c r="G32" s="460" t="str">
        <f t="shared" ref="G32:G35" si="6">G31</f>
        <v>RUA PARANÁ</v>
      </c>
      <c r="H32" s="546">
        <v>1</v>
      </c>
      <c r="I32" s="547">
        <v>0.6</v>
      </c>
      <c r="J32" s="547">
        <v>0.6</v>
      </c>
      <c r="K32" s="460" t="s">
        <v>98</v>
      </c>
      <c r="L32" s="548" t="s">
        <v>421</v>
      </c>
      <c r="M32" s="549">
        <f t="shared" si="5"/>
        <v>1</v>
      </c>
    </row>
    <row r="33" spans="1:13">
      <c r="A33" s="459">
        <v>20</v>
      </c>
      <c r="B33" s="459" t="s">
        <v>41</v>
      </c>
      <c r="C33" s="460">
        <v>10</v>
      </c>
      <c r="D33" s="459">
        <v>20</v>
      </c>
      <c r="E33" s="460" t="s">
        <v>41</v>
      </c>
      <c r="F33" s="460">
        <v>10</v>
      </c>
      <c r="G33" s="460" t="str">
        <f t="shared" si="6"/>
        <v>RUA PARANÁ</v>
      </c>
      <c r="H33" s="546">
        <v>2</v>
      </c>
      <c r="I33" s="547">
        <v>0.6</v>
      </c>
      <c r="J33" s="547">
        <v>0.6</v>
      </c>
      <c r="K33" s="460" t="s">
        <v>43</v>
      </c>
      <c r="L33" s="548" t="s">
        <v>419</v>
      </c>
      <c r="M33" s="549">
        <f t="shared" si="5"/>
        <v>2</v>
      </c>
    </row>
    <row r="34" spans="1:13">
      <c r="A34" s="459">
        <v>23</v>
      </c>
      <c r="B34" s="459" t="s">
        <v>41</v>
      </c>
      <c r="C34" s="460">
        <v>0</v>
      </c>
      <c r="D34" s="459">
        <v>23</v>
      </c>
      <c r="E34" s="460" t="s">
        <v>41</v>
      </c>
      <c r="F34" s="460">
        <v>0</v>
      </c>
      <c r="G34" s="460" t="str">
        <f t="shared" si="6"/>
        <v>RUA PARANÁ</v>
      </c>
      <c r="H34" s="546">
        <v>1</v>
      </c>
      <c r="I34" s="547">
        <v>0.6</v>
      </c>
      <c r="J34" s="547">
        <v>0.6</v>
      </c>
      <c r="K34" s="460" t="s">
        <v>97</v>
      </c>
      <c r="L34" s="548" t="s">
        <v>421</v>
      </c>
      <c r="M34" s="549">
        <f t="shared" ref="M34:M35" si="7">H34</f>
        <v>1</v>
      </c>
    </row>
    <row r="35" spans="1:13">
      <c r="A35" s="459">
        <v>25</v>
      </c>
      <c r="B35" s="459" t="s">
        <v>41</v>
      </c>
      <c r="C35" s="460">
        <v>10</v>
      </c>
      <c r="D35" s="459">
        <v>25</v>
      </c>
      <c r="E35" s="460" t="s">
        <v>41</v>
      </c>
      <c r="F35" s="460">
        <v>10</v>
      </c>
      <c r="G35" s="460" t="str">
        <f t="shared" si="6"/>
        <v>RUA PARANÁ</v>
      </c>
      <c r="H35" s="546">
        <v>1</v>
      </c>
      <c r="I35" s="547">
        <v>0.6</v>
      </c>
      <c r="J35" s="547">
        <v>0.6</v>
      </c>
      <c r="K35" s="460" t="s">
        <v>97</v>
      </c>
      <c r="L35" s="548" t="s">
        <v>420</v>
      </c>
      <c r="M35" s="549">
        <f t="shared" si="7"/>
        <v>1</v>
      </c>
    </row>
    <row r="36" spans="1:13">
      <c r="A36" s="804" t="s">
        <v>15</v>
      </c>
      <c r="B36" s="804"/>
      <c r="C36" s="804"/>
      <c r="D36" s="804"/>
      <c r="E36" s="804"/>
      <c r="F36" s="804"/>
      <c r="G36" s="804"/>
      <c r="H36" s="804"/>
      <c r="I36" s="804"/>
      <c r="J36" s="804"/>
      <c r="K36" s="804"/>
      <c r="L36" s="804"/>
      <c r="M36" s="549">
        <f>SUM(M31:M35)</f>
        <v>6</v>
      </c>
    </row>
    <row r="37" spans="1:13">
      <c r="A37" s="264"/>
      <c r="B37" s="544"/>
      <c r="C37" s="544"/>
      <c r="D37" s="544"/>
      <c r="E37" s="544"/>
      <c r="F37" s="544"/>
      <c r="G37" s="544"/>
      <c r="H37" s="544"/>
      <c r="I37" s="544"/>
      <c r="J37" s="545"/>
      <c r="K37" s="545"/>
      <c r="L37" s="545"/>
      <c r="M37" s="265"/>
    </row>
    <row r="38" spans="1:13">
      <c r="A38" s="795" t="s">
        <v>425</v>
      </c>
      <c r="B38" s="795"/>
      <c r="C38" s="795"/>
      <c r="D38" s="795"/>
      <c r="E38" s="795"/>
      <c r="F38" s="795"/>
      <c r="G38" s="795"/>
      <c r="H38" s="795"/>
      <c r="I38" s="795"/>
      <c r="J38" s="795"/>
      <c r="K38" s="795"/>
      <c r="L38" s="795"/>
      <c r="M38" s="795"/>
    </row>
    <row r="39" spans="1:13">
      <c r="A39" s="795" t="s">
        <v>116</v>
      </c>
      <c r="B39" s="795"/>
      <c r="C39" s="795"/>
      <c r="D39" s="795" t="s">
        <v>40</v>
      </c>
      <c r="E39" s="795"/>
      <c r="F39" s="795"/>
      <c r="G39" s="539" t="s">
        <v>244</v>
      </c>
      <c r="H39" s="540" t="s">
        <v>3</v>
      </c>
      <c r="I39" s="540" t="s">
        <v>42</v>
      </c>
      <c r="J39" s="540" t="s">
        <v>385</v>
      </c>
      <c r="K39" s="540" t="s">
        <v>99</v>
      </c>
      <c r="L39" s="540" t="s">
        <v>110</v>
      </c>
      <c r="M39" s="540" t="s">
        <v>111</v>
      </c>
    </row>
    <row r="40" spans="1:13">
      <c r="A40" s="553">
        <v>0</v>
      </c>
      <c r="B40" s="553" t="s">
        <v>41</v>
      </c>
      <c r="C40" s="547">
        <v>0</v>
      </c>
      <c r="D40" s="553">
        <v>0</v>
      </c>
      <c r="E40" s="553" t="s">
        <v>41</v>
      </c>
      <c r="F40" s="547">
        <v>0</v>
      </c>
      <c r="G40" s="460" t="str">
        <f>G31</f>
        <v>RUA PARANÁ</v>
      </c>
      <c r="H40" s="553">
        <v>1</v>
      </c>
      <c r="I40" s="547">
        <v>0.45</v>
      </c>
      <c r="J40" s="547">
        <v>0.25</v>
      </c>
      <c r="K40" s="460" t="s">
        <v>98</v>
      </c>
      <c r="L40" s="548" t="s">
        <v>426</v>
      </c>
      <c r="M40" s="549">
        <f t="shared" ref="M40:M41" si="8">H40</f>
        <v>1</v>
      </c>
    </row>
    <row r="41" spans="1:13">
      <c r="A41" s="553">
        <v>21</v>
      </c>
      <c r="B41" s="553" t="s">
        <v>41</v>
      </c>
      <c r="C41" s="547">
        <v>10</v>
      </c>
      <c r="D41" s="553">
        <v>21</v>
      </c>
      <c r="E41" s="553" t="s">
        <v>41</v>
      </c>
      <c r="F41" s="547">
        <v>10</v>
      </c>
      <c r="G41" s="460" t="str">
        <f>G40</f>
        <v>RUA PARANÁ</v>
      </c>
      <c r="H41" s="553">
        <v>1</v>
      </c>
      <c r="I41" s="547">
        <v>0.45</v>
      </c>
      <c r="J41" s="547">
        <v>0.25</v>
      </c>
      <c r="K41" s="460" t="s">
        <v>97</v>
      </c>
      <c r="L41" s="548" t="s">
        <v>426</v>
      </c>
      <c r="M41" s="549">
        <f t="shared" si="8"/>
        <v>1</v>
      </c>
    </row>
    <row r="42" spans="1:13">
      <c r="A42" s="804" t="s">
        <v>15</v>
      </c>
      <c r="B42" s="804"/>
      <c r="C42" s="804"/>
      <c r="D42" s="804"/>
      <c r="E42" s="804"/>
      <c r="F42" s="804"/>
      <c r="G42" s="804"/>
      <c r="H42" s="804"/>
      <c r="I42" s="804"/>
      <c r="J42" s="804"/>
      <c r="K42" s="804"/>
      <c r="L42" s="804"/>
      <c r="M42" s="549">
        <f>SUM(M40:M41)</f>
        <v>2</v>
      </c>
    </row>
    <row r="43" spans="1:13" s="233" customFormat="1">
      <c r="A43" s="264"/>
      <c r="B43" s="230"/>
      <c r="C43" s="230"/>
      <c r="D43" s="230"/>
      <c r="E43" s="230"/>
      <c r="F43" s="230"/>
      <c r="G43" s="230"/>
      <c r="H43" s="230"/>
      <c r="I43" s="230"/>
      <c r="J43" s="231"/>
      <c r="K43" s="231"/>
      <c r="L43" s="231"/>
      <c r="M43" s="265"/>
    </row>
    <row r="44" spans="1:13" s="233" customFormat="1">
      <c r="A44" s="795" t="s">
        <v>136</v>
      </c>
      <c r="B44" s="795"/>
      <c r="C44" s="795"/>
      <c r="D44" s="795"/>
      <c r="E44" s="795"/>
      <c r="F44" s="795"/>
      <c r="G44" s="795"/>
      <c r="H44" s="795"/>
      <c r="I44" s="795"/>
      <c r="J44" s="795"/>
      <c r="K44" s="795"/>
      <c r="L44" s="795"/>
      <c r="M44" s="795"/>
    </row>
    <row r="45" spans="1:13" s="233" customFormat="1">
      <c r="A45" s="795" t="s">
        <v>116</v>
      </c>
      <c r="B45" s="795"/>
      <c r="C45" s="795"/>
      <c r="D45" s="795" t="s">
        <v>40</v>
      </c>
      <c r="E45" s="795"/>
      <c r="F45" s="795"/>
      <c r="G45" s="237" t="s">
        <v>244</v>
      </c>
      <c r="H45" s="473" t="s">
        <v>402</v>
      </c>
      <c r="I45" s="238" t="s">
        <v>42</v>
      </c>
      <c r="J45" s="238" t="s">
        <v>38</v>
      </c>
      <c r="K45" s="238" t="s">
        <v>99</v>
      </c>
      <c r="L45" s="238" t="s">
        <v>110</v>
      </c>
      <c r="M45" s="238" t="s">
        <v>111</v>
      </c>
    </row>
    <row r="46" spans="1:13" s="233" customFormat="1">
      <c r="A46" s="200">
        <v>0</v>
      </c>
      <c r="B46" s="200" t="s">
        <v>41</v>
      </c>
      <c r="C46" s="201">
        <v>0</v>
      </c>
      <c r="D46" s="200">
        <v>30</v>
      </c>
      <c r="E46" s="200" t="s">
        <v>41</v>
      </c>
      <c r="F46" s="201">
        <v>0</v>
      </c>
      <c r="G46" s="236" t="str">
        <f>G25</f>
        <v>RUA PARANÁ</v>
      </c>
      <c r="H46" s="200">
        <v>1</v>
      </c>
      <c r="I46" s="200">
        <v>2</v>
      </c>
      <c r="J46" s="200">
        <v>1</v>
      </c>
      <c r="K46" s="236" t="s">
        <v>97</v>
      </c>
      <c r="L46" s="202" t="s">
        <v>132</v>
      </c>
      <c r="M46" s="262">
        <v>1</v>
      </c>
    </row>
    <row r="47" spans="1:13" s="233" customFormat="1">
      <c r="A47" s="760" t="s">
        <v>15</v>
      </c>
      <c r="B47" s="760"/>
      <c r="C47" s="760"/>
      <c r="D47" s="760"/>
      <c r="E47" s="760"/>
      <c r="F47" s="760"/>
      <c r="G47" s="760"/>
      <c r="H47" s="760"/>
      <c r="I47" s="760"/>
      <c r="J47" s="760"/>
      <c r="K47" s="760"/>
      <c r="L47" s="760"/>
      <c r="M47" s="262">
        <f>SUM(M46:M46)</f>
        <v>1</v>
      </c>
    </row>
    <row r="48" spans="1:13" ht="14.25" customHeight="1"/>
    <row r="80" ht="3" customHeight="1"/>
    <row r="84" ht="3" customHeight="1"/>
  </sheetData>
  <mergeCells count="33">
    <mergeCell ref="A47:L47"/>
    <mergeCell ref="A44:M44"/>
    <mergeCell ref="A45:C45"/>
    <mergeCell ref="D45:F45"/>
    <mergeCell ref="A23:C23"/>
    <mergeCell ref="D23:F23"/>
    <mergeCell ref="A27:L27"/>
    <mergeCell ref="A29:M29"/>
    <mergeCell ref="A30:C30"/>
    <mergeCell ref="D30:F30"/>
    <mergeCell ref="A36:L36"/>
    <mergeCell ref="A38:M38"/>
    <mergeCell ref="A39:C39"/>
    <mergeCell ref="D39:F39"/>
    <mergeCell ref="A42:L42"/>
    <mergeCell ref="A22:M22"/>
    <mergeCell ref="D17:F17"/>
    <mergeCell ref="A17:C17"/>
    <mergeCell ref="A20:L20"/>
    <mergeCell ref="A16:M16"/>
    <mergeCell ref="A1:C3"/>
    <mergeCell ref="D1:M1"/>
    <mergeCell ref="I2:K2"/>
    <mergeCell ref="D2:H2"/>
    <mergeCell ref="D3:L3"/>
    <mergeCell ref="A12:C12"/>
    <mergeCell ref="D12:F12"/>
    <mergeCell ref="A14:L14"/>
    <mergeCell ref="A5:M5"/>
    <mergeCell ref="A6:C6"/>
    <mergeCell ref="D6:F6"/>
    <mergeCell ref="A9:L9"/>
    <mergeCell ref="A11:M11"/>
  </mergeCells>
  <printOptions horizontalCentered="1"/>
  <pageMargins left="0.59055118110236227" right="0.59055118110236227" top="0.59055118110236227" bottom="0.39370078740157483" header="0" footer="0.19685039370078741"/>
  <pageSetup paperSize="9" scale="80" fitToHeight="0" orientation="portrait" r:id="rId1"/>
  <headerFooter alignWithMargins="0">
    <oddFooter>&amp;CEng° Darcio Pagani Vieira
Crea/SC - 077.222-9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zoomScale="85" zoomScaleNormal="85" workbookViewId="0">
      <selection activeCell="H17" sqref="H17:H26"/>
    </sheetView>
  </sheetViews>
  <sheetFormatPr defaultRowHeight="15"/>
  <cols>
    <col min="1" max="1" width="9.5703125" customWidth="1"/>
    <col min="2" max="2" width="10.7109375" customWidth="1"/>
    <col min="3" max="3" width="6.85546875" customWidth="1"/>
    <col min="4" max="4" width="64.28515625" customWidth="1"/>
    <col min="5" max="5" width="25.42578125" customWidth="1"/>
    <col min="6" max="6" width="12.28515625" customWidth="1"/>
    <col min="7" max="7" width="10.85546875" customWidth="1"/>
    <col min="8" max="8" width="12" customWidth="1"/>
    <col min="9" max="9" width="12.42578125" customWidth="1"/>
    <col min="10" max="10" width="19.140625" customWidth="1"/>
  </cols>
  <sheetData>
    <row r="1" spans="1:10" ht="14.25" customHeight="1">
      <c r="A1" s="21"/>
      <c r="B1" s="21"/>
      <c r="C1" s="21"/>
      <c r="D1" s="29" t="s">
        <v>44</v>
      </c>
      <c r="E1" s="5"/>
      <c r="F1" s="30" t="s">
        <v>45</v>
      </c>
      <c r="G1" s="5"/>
      <c r="H1" s="5"/>
      <c r="I1" s="5"/>
      <c r="J1" s="21"/>
    </row>
    <row r="2" spans="1:10">
      <c r="A2" s="21"/>
      <c r="B2" s="21"/>
      <c r="C2" s="21"/>
      <c r="D2" s="809" t="s">
        <v>13</v>
      </c>
      <c r="E2" s="810"/>
      <c r="F2" s="580"/>
      <c r="G2" s="581"/>
      <c r="H2" s="581"/>
      <c r="I2" s="582"/>
      <c r="J2" s="21"/>
    </row>
    <row r="3" spans="1:10" ht="14.25" customHeight="1">
      <c r="A3" s="21"/>
      <c r="B3" s="21"/>
      <c r="C3" s="21"/>
      <c r="D3" s="31" t="s">
        <v>46</v>
      </c>
      <c r="E3" s="5"/>
      <c r="F3" s="5"/>
      <c r="G3" s="5"/>
      <c r="H3" s="5"/>
      <c r="I3" s="5"/>
      <c r="J3" s="21"/>
    </row>
    <row r="4" spans="1:10">
      <c r="A4" s="21"/>
      <c r="B4" s="21"/>
      <c r="C4" s="21"/>
      <c r="D4" s="811" t="s">
        <v>437</v>
      </c>
      <c r="E4" s="812"/>
      <c r="F4" s="812"/>
      <c r="G4" s="812"/>
      <c r="H4" s="812"/>
      <c r="I4" s="813"/>
      <c r="J4" s="21"/>
    </row>
    <row r="5" spans="1:10" ht="14.25" customHeight="1">
      <c r="A5" s="21"/>
      <c r="B5" s="21"/>
      <c r="C5" s="21"/>
      <c r="D5" s="30" t="s">
        <v>47</v>
      </c>
      <c r="E5" s="30"/>
      <c r="F5" s="5"/>
      <c r="G5" s="5"/>
      <c r="H5" s="5"/>
      <c r="I5" s="5"/>
      <c r="J5" s="21"/>
    </row>
    <row r="6" spans="1:10">
      <c r="A6" s="21"/>
      <c r="B6" s="21"/>
      <c r="C6" s="21"/>
      <c r="D6" s="328" t="s">
        <v>436</v>
      </c>
      <c r="E6" s="814" t="s">
        <v>429</v>
      </c>
      <c r="F6" s="815"/>
      <c r="G6" s="816"/>
      <c r="H6" s="824" t="str">
        <f ca="1">PAVIM.!M3</f>
        <v>DATA: 12/08/26</v>
      </c>
      <c r="I6" s="825"/>
      <c r="J6" s="21"/>
    </row>
    <row r="7" spans="1:10" s="7" customFormat="1" ht="5.25" customHeight="1">
      <c r="A7" s="250"/>
      <c r="B7" s="250"/>
      <c r="C7" s="250"/>
      <c r="D7" s="329"/>
      <c r="E7" s="820"/>
      <c r="F7" s="820"/>
      <c r="G7" s="820"/>
      <c r="H7" s="826"/>
      <c r="I7" s="825"/>
      <c r="J7" s="250"/>
    </row>
    <row r="8" spans="1:10" s="173" customFormat="1" ht="14.25" customHeight="1">
      <c r="A8" s="21"/>
      <c r="B8" s="21"/>
      <c r="C8" s="21"/>
      <c r="D8" s="330" t="str">
        <f>PAVIM.!K2</f>
        <v>MUNICIPIO: MARACAJÁ</v>
      </c>
      <c r="E8" s="821" t="str">
        <f>PAVIM.!M2</f>
        <v>ESTADO: SANTA CATARINA</v>
      </c>
      <c r="F8" s="822"/>
      <c r="G8" s="823"/>
      <c r="H8" s="827"/>
      <c r="I8" s="828"/>
      <c r="J8" s="21"/>
    </row>
    <row r="9" spans="1:10" ht="5.25" customHeight="1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817" t="s">
        <v>368</v>
      </c>
      <c r="B10" s="818"/>
      <c r="C10" s="818"/>
      <c r="D10" s="818"/>
      <c r="E10" s="818"/>
      <c r="F10" s="818"/>
      <c r="G10" s="818"/>
      <c r="H10" s="818"/>
      <c r="I10" s="818"/>
      <c r="J10" s="818"/>
    </row>
    <row r="11" spans="1:10" ht="5.2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0">
      <c r="A12" s="21"/>
      <c r="B12" s="21"/>
      <c r="C12" s="21"/>
      <c r="D12" s="45" t="s">
        <v>48</v>
      </c>
      <c r="E12" s="21"/>
      <c r="F12" s="21"/>
      <c r="G12" s="21"/>
      <c r="H12" s="21"/>
      <c r="I12" s="21"/>
      <c r="J12" s="21"/>
    </row>
    <row r="13" spans="1:10">
      <c r="A13" s="21"/>
      <c r="B13" s="21"/>
      <c r="C13" s="21"/>
      <c r="D13" s="32" t="s">
        <v>100</v>
      </c>
      <c r="E13" s="21"/>
      <c r="F13" s="21"/>
      <c r="G13" s="21"/>
      <c r="H13" s="21"/>
      <c r="I13" s="21"/>
      <c r="J13" s="21"/>
    </row>
    <row r="14" spans="1:10" ht="9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>
      <c r="A15" s="21"/>
      <c r="B15" s="21"/>
      <c r="C15" s="819" t="s">
        <v>49</v>
      </c>
      <c r="D15" s="819"/>
      <c r="E15" s="819"/>
      <c r="F15" s="819"/>
      <c r="G15" s="819"/>
      <c r="H15" s="819"/>
      <c r="I15" s="819"/>
      <c r="J15" s="21"/>
    </row>
    <row r="16" spans="1:10" ht="35.25" customHeight="1">
      <c r="A16" s="21"/>
      <c r="B16" s="21"/>
      <c r="C16" s="34" t="s">
        <v>50</v>
      </c>
      <c r="D16" s="34" t="s">
        <v>51</v>
      </c>
      <c r="E16" s="34" t="s">
        <v>52</v>
      </c>
      <c r="F16" s="34" t="s">
        <v>53</v>
      </c>
      <c r="G16" s="267" t="s">
        <v>54</v>
      </c>
      <c r="H16" s="338" t="s">
        <v>55</v>
      </c>
      <c r="I16" s="338" t="s">
        <v>56</v>
      </c>
      <c r="J16" s="21"/>
    </row>
    <row r="17" spans="1:14">
      <c r="A17" s="21"/>
      <c r="B17" s="21"/>
      <c r="C17" s="152">
        <v>1</v>
      </c>
      <c r="D17" s="50" t="s">
        <v>57</v>
      </c>
      <c r="E17" s="152" t="s">
        <v>58</v>
      </c>
      <c r="F17" s="153">
        <v>3.7999999999999999E-2</v>
      </c>
      <c r="G17" s="154" t="s">
        <v>59</v>
      </c>
      <c r="H17" s="153">
        <v>3.7999999999999999E-2</v>
      </c>
      <c r="I17" s="153">
        <v>4.6699999999999998E-2</v>
      </c>
      <c r="J17" s="21"/>
    </row>
    <row r="18" spans="1:14">
      <c r="A18" s="21"/>
      <c r="B18" s="21"/>
      <c r="C18" s="34">
        <v>2</v>
      </c>
      <c r="D18" s="33" t="s">
        <v>60</v>
      </c>
      <c r="E18" s="34" t="s">
        <v>61</v>
      </c>
      <c r="F18" s="35">
        <v>3.2000000000000002E-3</v>
      </c>
      <c r="G18" s="34" t="s">
        <v>59</v>
      </c>
      <c r="H18" s="35">
        <v>3.2000000000000002E-3</v>
      </c>
      <c r="I18" s="35">
        <v>7.4000000000000003E-3</v>
      </c>
      <c r="J18" s="21"/>
    </row>
    <row r="19" spans="1:14">
      <c r="A19" s="21"/>
      <c r="B19" s="21"/>
      <c r="C19" s="34">
        <v>3</v>
      </c>
      <c r="D19" s="33" t="s">
        <v>62</v>
      </c>
      <c r="E19" s="34" t="s">
        <v>63</v>
      </c>
      <c r="F19" s="35">
        <v>5.0000000000000001E-3</v>
      </c>
      <c r="G19" s="34" t="s">
        <v>59</v>
      </c>
      <c r="H19" s="35">
        <v>5.0000000000000001E-3</v>
      </c>
      <c r="I19" s="35">
        <v>9.7000000000000003E-3</v>
      </c>
      <c r="J19" s="36"/>
    </row>
    <row r="20" spans="1:14">
      <c r="A20" s="21"/>
      <c r="B20" s="21"/>
      <c r="C20" s="34">
        <v>4</v>
      </c>
      <c r="D20" s="33" t="s">
        <v>64</v>
      </c>
      <c r="E20" s="34" t="s">
        <v>65</v>
      </c>
      <c r="F20" s="35">
        <v>1.0200000000000001E-2</v>
      </c>
      <c r="G20" s="34" t="s">
        <v>59</v>
      </c>
      <c r="H20" s="35">
        <v>1.0200000000000001E-2</v>
      </c>
      <c r="I20" s="35">
        <v>1.21E-2</v>
      </c>
      <c r="J20" s="36"/>
    </row>
    <row r="21" spans="1:14">
      <c r="A21" s="21"/>
      <c r="B21" s="21"/>
      <c r="C21" s="34">
        <v>5</v>
      </c>
      <c r="D21" s="33" t="s">
        <v>66</v>
      </c>
      <c r="E21" s="34" t="s">
        <v>67</v>
      </c>
      <c r="F21" s="35">
        <v>6.6400000000000001E-2</v>
      </c>
      <c r="G21" s="34" t="s">
        <v>59</v>
      </c>
      <c r="H21" s="35">
        <v>6.6400000000000001E-2</v>
      </c>
      <c r="I21" s="35">
        <v>8.6900000000000005E-2</v>
      </c>
      <c r="J21" s="36"/>
      <c r="M21" s="628"/>
      <c r="N21" s="628"/>
    </row>
    <row r="22" spans="1:14">
      <c r="A22" s="21"/>
      <c r="B22" s="21"/>
      <c r="C22" s="34">
        <v>6</v>
      </c>
      <c r="D22" s="33" t="s">
        <v>68</v>
      </c>
      <c r="E22" s="34" t="s">
        <v>69</v>
      </c>
      <c r="F22" s="35">
        <f>SUM(F23:F26)</f>
        <v>6.6500000000000004E-2</v>
      </c>
      <c r="G22" s="34" t="s">
        <v>59</v>
      </c>
      <c r="H22" s="35">
        <v>3.6499999999999998E-2</v>
      </c>
      <c r="I22" s="35">
        <v>8.6499999999999994E-2</v>
      </c>
      <c r="M22" s="628"/>
      <c r="N22" s="628"/>
    </row>
    <row r="23" spans="1:14" ht="15" customHeight="1" thickBot="1">
      <c r="A23" s="21"/>
      <c r="B23" s="21"/>
      <c r="C23" s="34" t="s">
        <v>70</v>
      </c>
      <c r="D23" s="33" t="s">
        <v>71</v>
      </c>
      <c r="E23" s="34" t="s">
        <v>71</v>
      </c>
      <c r="F23" s="35">
        <v>6.4999999999999997E-3</v>
      </c>
      <c r="G23" s="34" t="s">
        <v>59</v>
      </c>
      <c r="H23" s="35">
        <v>6.4999999999999997E-3</v>
      </c>
      <c r="I23" s="35">
        <v>6.4999999999999997E-3</v>
      </c>
      <c r="M23" s="628"/>
      <c r="N23" s="628"/>
    </row>
    <row r="24" spans="1:14">
      <c r="A24" s="805" t="s">
        <v>72</v>
      </c>
      <c r="B24" s="807" t="s">
        <v>73</v>
      </c>
      <c r="C24" s="34" t="s">
        <v>74</v>
      </c>
      <c r="D24" s="33" t="s">
        <v>75</v>
      </c>
      <c r="E24" s="34" t="s">
        <v>75</v>
      </c>
      <c r="F24" s="35">
        <v>0.03</v>
      </c>
      <c r="G24" s="34" t="s">
        <v>59</v>
      </c>
      <c r="H24" s="35">
        <v>0.03</v>
      </c>
      <c r="I24" s="35">
        <v>0.03</v>
      </c>
      <c r="M24" s="628"/>
      <c r="N24" s="628"/>
    </row>
    <row r="25" spans="1:14" ht="15.75" thickBot="1">
      <c r="A25" s="806"/>
      <c r="B25" s="808"/>
      <c r="C25" s="34" t="s">
        <v>76</v>
      </c>
      <c r="D25" s="37" t="s">
        <v>77</v>
      </c>
      <c r="E25" s="38" t="s">
        <v>78</v>
      </c>
      <c r="F25" s="39">
        <v>0</v>
      </c>
      <c r="G25" s="34" t="s">
        <v>59</v>
      </c>
      <c r="H25" s="39">
        <v>4.4999999999999998E-2</v>
      </c>
      <c r="I25" s="39">
        <v>4.4999999999999998E-2</v>
      </c>
      <c r="M25" s="628"/>
      <c r="N25" s="628"/>
    </row>
    <row r="26" spans="1:14" ht="15.75" thickBot="1">
      <c r="A26" s="40">
        <v>0.03</v>
      </c>
      <c r="B26" s="41">
        <v>1</v>
      </c>
      <c r="C26" s="151" t="s">
        <v>79</v>
      </c>
      <c r="D26" s="43" t="s">
        <v>80</v>
      </c>
      <c r="E26" s="42" t="s">
        <v>80</v>
      </c>
      <c r="F26" s="44">
        <v>0.03</v>
      </c>
      <c r="G26" s="34" t="s">
        <v>59</v>
      </c>
      <c r="H26" s="35">
        <v>0.02</v>
      </c>
      <c r="I26" s="35">
        <v>0.05</v>
      </c>
      <c r="J26" s="45"/>
    </row>
    <row r="27" spans="1:14">
      <c r="A27" s="36"/>
      <c r="B27" s="36"/>
      <c r="C27" s="36"/>
      <c r="D27" s="36"/>
      <c r="E27" s="829" t="s">
        <v>81</v>
      </c>
      <c r="F27" s="829"/>
      <c r="G27" s="829"/>
      <c r="H27" s="830" t="s">
        <v>82</v>
      </c>
      <c r="I27" s="831"/>
      <c r="J27" s="36"/>
    </row>
    <row r="28" spans="1:14" ht="12" customHeight="1">
      <c r="A28" s="36"/>
      <c r="B28" s="832" t="s">
        <v>83</v>
      </c>
      <c r="C28" s="833"/>
      <c r="D28" s="834"/>
      <c r="E28" s="36"/>
      <c r="F28" s="36"/>
      <c r="G28" s="36"/>
      <c r="H28" s="36"/>
      <c r="I28" s="36"/>
      <c r="J28" s="21"/>
    </row>
    <row r="29" spans="1:14">
      <c r="A29" s="36"/>
      <c r="B29" s="46"/>
      <c r="C29" s="47"/>
      <c r="D29" s="48"/>
      <c r="E29" s="36"/>
      <c r="F29" s="36"/>
      <c r="G29" s="36"/>
      <c r="H29" s="36"/>
      <c r="I29" s="36"/>
      <c r="J29" s="21"/>
    </row>
    <row r="30" spans="1:14">
      <c r="A30" s="36"/>
      <c r="B30" s="46"/>
      <c r="C30" s="835" t="s">
        <v>84</v>
      </c>
      <c r="D30" s="49" t="s">
        <v>85</v>
      </c>
      <c r="E30" s="839" t="s">
        <v>6</v>
      </c>
      <c r="F30" s="840">
        <f>TRUNC((((1+F17+F18+F19)*(1+F20)*(1+F21))/(1-F22))-1,4)</f>
        <v>0.20730000000000001</v>
      </c>
      <c r="G30" s="841" t="s">
        <v>86</v>
      </c>
      <c r="H30" s="842"/>
      <c r="I30" s="843"/>
      <c r="J30" s="21"/>
    </row>
    <row r="31" spans="1:14">
      <c r="A31" s="36"/>
      <c r="B31" s="46"/>
      <c r="C31" s="835"/>
      <c r="D31" s="47" t="s">
        <v>87</v>
      </c>
      <c r="E31" s="839"/>
      <c r="F31" s="840"/>
      <c r="G31" s="844"/>
      <c r="H31" s="844"/>
      <c r="I31" s="845"/>
      <c r="J31" s="21"/>
    </row>
    <row r="32" spans="1:14" ht="15" customHeight="1">
      <c r="A32" s="36"/>
      <c r="B32" s="50"/>
      <c r="C32" s="51"/>
      <c r="D32" s="52"/>
      <c r="E32" s="36"/>
      <c r="F32" s="36"/>
      <c r="G32" s="846"/>
      <c r="H32" s="847"/>
      <c r="I32" s="848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331"/>
      <c r="C34" s="332"/>
      <c r="D34" s="332"/>
      <c r="E34" s="332"/>
      <c r="F34" s="332"/>
      <c r="G34" s="332"/>
      <c r="H34" s="332"/>
      <c r="I34" s="333"/>
      <c r="J34" s="21"/>
    </row>
    <row r="35" spans="1:10">
      <c r="A35" s="21"/>
      <c r="B35" s="334"/>
      <c r="C35" s="335"/>
      <c r="D35" s="335"/>
      <c r="E35" s="335"/>
      <c r="F35" s="335"/>
      <c r="G35" s="335"/>
      <c r="H35" s="335"/>
      <c r="I35" s="336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 ht="15" customHeight="1">
      <c r="A37" s="21"/>
      <c r="B37" s="836" t="s">
        <v>369</v>
      </c>
      <c r="C37" s="837"/>
      <c r="D37" s="837"/>
      <c r="E37" s="837"/>
      <c r="F37" s="837"/>
      <c r="G37" s="837"/>
      <c r="H37" s="837"/>
      <c r="I37" s="838"/>
      <c r="J37" s="21"/>
    </row>
    <row r="38" spans="1:10">
      <c r="A38" s="21"/>
      <c r="B38" s="855" t="s">
        <v>88</v>
      </c>
      <c r="C38" s="855"/>
      <c r="D38" s="855"/>
      <c r="E38" s="855"/>
      <c r="F38" s="855"/>
      <c r="G38" s="855"/>
      <c r="H38" s="855"/>
      <c r="I38" s="855"/>
      <c r="J38" s="21"/>
    </row>
    <row r="39" spans="1:10">
      <c r="A39" s="21"/>
      <c r="B39" s="856" t="s">
        <v>370</v>
      </c>
      <c r="C39" s="856"/>
      <c r="D39" s="856"/>
      <c r="E39" s="856"/>
      <c r="F39" s="856"/>
      <c r="G39" s="856"/>
      <c r="H39" s="856"/>
      <c r="I39" s="856"/>
      <c r="J39" s="21"/>
    </row>
    <row r="40" spans="1:10" ht="28.5" customHeight="1">
      <c r="A40" s="21"/>
      <c r="B40" s="857" t="s">
        <v>89</v>
      </c>
      <c r="C40" s="857"/>
      <c r="D40" s="857"/>
      <c r="E40" s="857"/>
      <c r="F40" s="857"/>
      <c r="G40" s="857"/>
      <c r="H40" s="857"/>
      <c r="I40" s="857"/>
      <c r="J40" s="21"/>
    </row>
    <row r="41" spans="1:10">
      <c r="A41" s="21"/>
      <c r="B41" s="36"/>
      <c r="C41" s="36"/>
      <c r="D41" s="36"/>
      <c r="E41" s="36"/>
      <c r="F41" s="858" t="s">
        <v>90</v>
      </c>
      <c r="G41" s="859"/>
      <c r="H41" s="859"/>
      <c r="I41" s="860"/>
      <c r="J41" s="21"/>
    </row>
    <row r="42" spans="1:10">
      <c r="A42" s="21"/>
      <c r="B42" s="861"/>
      <c r="C42" s="862"/>
      <c r="D42" s="36"/>
      <c r="E42" s="36"/>
      <c r="F42" s="863" t="s">
        <v>91</v>
      </c>
      <c r="G42" s="864"/>
      <c r="H42" s="864"/>
      <c r="I42" s="865"/>
      <c r="J42" s="21"/>
    </row>
    <row r="43" spans="1:10">
      <c r="A43" s="21"/>
      <c r="B43" s="866"/>
      <c r="C43" s="866"/>
      <c r="D43" s="36"/>
      <c r="E43" s="36"/>
      <c r="F43" s="863"/>
      <c r="G43" s="864"/>
      <c r="H43" s="864"/>
      <c r="I43" s="865"/>
      <c r="J43" s="21"/>
    </row>
    <row r="44" spans="1:10">
      <c r="A44" s="21"/>
      <c r="B44" s="36"/>
      <c r="C44" s="36"/>
      <c r="D44" s="36"/>
      <c r="E44" s="36"/>
      <c r="F44" s="863"/>
      <c r="G44" s="864"/>
      <c r="H44" s="864"/>
      <c r="I44" s="865"/>
      <c r="J44" s="21"/>
    </row>
    <row r="45" spans="1:10">
      <c r="A45" s="21"/>
      <c r="B45" s="36"/>
      <c r="C45" s="36"/>
      <c r="D45" s="53"/>
      <c r="E45" s="36"/>
      <c r="F45" s="54"/>
      <c r="G45" s="55"/>
      <c r="H45" s="55"/>
      <c r="I45" s="56"/>
      <c r="J45" s="21"/>
    </row>
    <row r="46" spans="1:10">
      <c r="A46" s="21"/>
      <c r="B46" s="36"/>
      <c r="C46" s="36"/>
      <c r="D46" s="337" t="s">
        <v>92</v>
      </c>
      <c r="E46" s="36"/>
      <c r="F46" s="57"/>
      <c r="G46" s="58"/>
      <c r="H46" s="58"/>
      <c r="I46" s="59"/>
      <c r="J46" s="21"/>
    </row>
    <row r="47" spans="1:10">
      <c r="A47" s="21"/>
      <c r="B47" s="36"/>
      <c r="C47" s="36"/>
      <c r="D47" s="36" t="s">
        <v>434</v>
      </c>
      <c r="E47" s="36"/>
      <c r="F47" s="867" t="s">
        <v>93</v>
      </c>
      <c r="G47" s="868"/>
      <c r="H47" s="868"/>
      <c r="I47" s="869"/>
      <c r="J47" s="21"/>
    </row>
    <row r="48" spans="1:10">
      <c r="A48" s="21"/>
      <c r="B48" s="36"/>
      <c r="C48" s="36"/>
      <c r="D48" s="36" t="s">
        <v>435</v>
      </c>
      <c r="E48" s="36"/>
      <c r="F48" s="849" t="s">
        <v>94</v>
      </c>
      <c r="G48" s="850"/>
      <c r="H48" s="850"/>
      <c r="I48" s="851"/>
      <c r="J48" s="21"/>
    </row>
    <row r="49" spans="1:10">
      <c r="A49" s="21"/>
      <c r="B49" s="36"/>
      <c r="C49" s="36"/>
      <c r="D49" s="36"/>
      <c r="E49" s="36"/>
      <c r="F49" s="60" t="s">
        <v>95</v>
      </c>
      <c r="G49" s="61"/>
      <c r="H49" s="61"/>
      <c r="I49" s="62"/>
      <c r="J49" s="21"/>
    </row>
    <row r="50" spans="1:10">
      <c r="A50" s="21"/>
      <c r="B50" s="36"/>
      <c r="C50" s="36"/>
      <c r="D50" s="36"/>
      <c r="E50" s="36"/>
      <c r="F50" s="852" t="s">
        <v>96</v>
      </c>
      <c r="G50" s="853"/>
      <c r="H50" s="853"/>
      <c r="I50" s="854"/>
      <c r="J50" s="21"/>
    </row>
    <row r="51" spans="1:10">
      <c r="A51" s="21"/>
      <c r="B51" s="36"/>
      <c r="C51" s="36"/>
      <c r="D51" s="36"/>
      <c r="E51" s="36"/>
      <c r="F51" s="36"/>
      <c r="G51" s="36"/>
      <c r="H51" s="36"/>
      <c r="I51" s="36"/>
      <c r="J51" s="21"/>
    </row>
  </sheetData>
  <mergeCells count="29">
    <mergeCell ref="F48:I48"/>
    <mergeCell ref="F50:I50"/>
    <mergeCell ref="B38:I38"/>
    <mergeCell ref="B39:I39"/>
    <mergeCell ref="B40:I40"/>
    <mergeCell ref="F41:I41"/>
    <mergeCell ref="B42:C42"/>
    <mergeCell ref="F42:I44"/>
    <mergeCell ref="B43:C43"/>
    <mergeCell ref="F47:I47"/>
    <mergeCell ref="E27:G27"/>
    <mergeCell ref="H27:I27"/>
    <mergeCell ref="B28:D28"/>
    <mergeCell ref="C30:C31"/>
    <mergeCell ref="B37:I37"/>
    <mergeCell ref="E30:E31"/>
    <mergeCell ref="F30:F31"/>
    <mergeCell ref="G30:I32"/>
    <mergeCell ref="M21:N25"/>
    <mergeCell ref="A24:A25"/>
    <mergeCell ref="B24:B25"/>
    <mergeCell ref="D2:E2"/>
    <mergeCell ref="D4:I4"/>
    <mergeCell ref="E6:G6"/>
    <mergeCell ref="A10:J10"/>
    <mergeCell ref="C15:I15"/>
    <mergeCell ref="E7:G7"/>
    <mergeCell ref="E8:G8"/>
    <mergeCell ref="H6:I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7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view="pageBreakPreview" zoomScale="80" zoomScaleNormal="85" zoomScaleSheetLayoutView="80" workbookViewId="0">
      <pane ySplit="3" topLeftCell="A4" activePane="bottomLeft" state="frozen"/>
      <selection activeCell="C19" sqref="C19"/>
      <selection pane="bottomLeft" activeCell="C19" sqref="C19"/>
    </sheetView>
  </sheetViews>
  <sheetFormatPr defaultColWidth="9.140625" defaultRowHeight="12.75"/>
  <cols>
    <col min="1" max="1" width="18.140625" style="148" customWidth="1"/>
    <col min="2" max="2" width="106.140625" style="148" customWidth="1"/>
    <col min="3" max="4" width="19" style="148" customWidth="1"/>
    <col min="5" max="5" width="28" style="148" bestFit="1" customWidth="1"/>
    <col min="6" max="6" width="16.42578125" style="148" bestFit="1" customWidth="1"/>
    <col min="7" max="16384" width="9.140625" style="148"/>
  </cols>
  <sheetData>
    <row r="1" spans="1:9" s="249" customFormat="1" ht="33.75" customHeight="1">
      <c r="A1" s="874"/>
      <c r="B1" s="873" t="s">
        <v>193</v>
      </c>
      <c r="C1" s="873"/>
      <c r="D1" s="873"/>
      <c r="E1" s="873"/>
      <c r="F1" s="873"/>
    </row>
    <row r="2" spans="1:9" ht="15.75">
      <c r="A2" s="874"/>
      <c r="B2" s="307" t="str">
        <f>PAVIM.!G2</f>
        <v>PREFEITURA MUNICIPAL DE MARACAJÁ</v>
      </c>
      <c r="C2" s="613" t="str">
        <f>PAVIM.!H2</f>
        <v>BAIRRO: ESPIGÃO GRANDE</v>
      </c>
      <c r="D2" s="613"/>
      <c r="E2" s="876" t="str">
        <f>PAVIM.!M2</f>
        <v>ESTADO: SANTA CATARINA</v>
      </c>
      <c r="F2" s="877" t="str">
        <f ca="1">PAVIM.!M3</f>
        <v>DATA: 12/08/26</v>
      </c>
    </row>
    <row r="3" spans="1:9" ht="15.75">
      <c r="A3" s="874"/>
      <c r="B3" s="307" t="str">
        <f>PAVIM.!G3</f>
        <v>RUA PARANÁ - TRECHO 01</v>
      </c>
      <c r="C3" s="875" t="str">
        <f>PAVIM.!K2</f>
        <v>MUNICIPIO: MARACAJÁ</v>
      </c>
      <c r="D3" s="875"/>
      <c r="E3" s="876"/>
      <c r="F3" s="878"/>
    </row>
    <row r="4" spans="1:9" s="150" customFormat="1" ht="15.75">
      <c r="A4" s="251"/>
      <c r="B4" s="252"/>
      <c r="C4" s="252"/>
      <c r="D4" s="252"/>
      <c r="E4" s="253"/>
      <c r="F4" s="254"/>
    </row>
    <row r="5" spans="1:9" ht="15.75">
      <c r="A5" s="402" t="s">
        <v>257</v>
      </c>
      <c r="B5" s="879" t="s">
        <v>391</v>
      </c>
      <c r="C5" s="880"/>
      <c r="D5" s="880"/>
      <c r="E5" s="880"/>
      <c r="F5" s="881"/>
      <c r="G5" s="149"/>
      <c r="H5" s="150"/>
      <c r="I5" s="150"/>
    </row>
    <row r="6" spans="1:9" ht="31.5" customHeight="1">
      <c r="A6" s="339" t="s">
        <v>169</v>
      </c>
      <c r="B6" s="339" t="s">
        <v>194</v>
      </c>
      <c r="C6" s="554" t="s">
        <v>195</v>
      </c>
      <c r="D6" s="554" t="s">
        <v>196</v>
      </c>
      <c r="E6" s="554" t="s">
        <v>197</v>
      </c>
      <c r="F6" s="554" t="s">
        <v>198</v>
      </c>
      <c r="H6" s="150"/>
      <c r="I6" s="150"/>
    </row>
    <row r="7" spans="1:9" ht="15.75">
      <c r="A7" s="403">
        <v>88316</v>
      </c>
      <c r="B7" s="403" t="s">
        <v>201</v>
      </c>
      <c r="C7" s="403" t="s">
        <v>202</v>
      </c>
      <c r="D7" s="403">
        <v>7.1036100000000005E-2</v>
      </c>
      <c r="E7" s="441">
        <v>26.73</v>
      </c>
      <c r="F7" s="441">
        <f>TRUNC(D7*E7,2)</f>
        <v>1.89</v>
      </c>
      <c r="H7" s="150"/>
      <c r="I7" s="150"/>
    </row>
    <row r="8" spans="1:9" ht="31.5">
      <c r="A8" s="403">
        <v>5934</v>
      </c>
      <c r="B8" s="403" t="s">
        <v>256</v>
      </c>
      <c r="C8" s="403" t="s">
        <v>200</v>
      </c>
      <c r="D8" s="403">
        <v>6.3005099999999994E-2</v>
      </c>
      <c r="E8" s="441">
        <v>123.76</v>
      </c>
      <c r="F8" s="441">
        <f t="shared" ref="F8:F14" si="0">TRUNC(D8*E8,2)</f>
        <v>7.79</v>
      </c>
      <c r="H8" s="150"/>
      <c r="I8" s="150"/>
    </row>
    <row r="9" spans="1:9" ht="31.5">
      <c r="A9" s="403">
        <v>5932</v>
      </c>
      <c r="B9" s="403" t="s">
        <v>255</v>
      </c>
      <c r="C9" s="403" t="s">
        <v>199</v>
      </c>
      <c r="D9" s="403">
        <v>8.0309999999999999E-3</v>
      </c>
      <c r="E9" s="441">
        <v>308.08</v>
      </c>
      <c r="F9" s="441">
        <f t="shared" si="0"/>
        <v>2.4700000000000002</v>
      </c>
      <c r="H9" s="150"/>
      <c r="I9" s="150"/>
    </row>
    <row r="10" spans="1:9" ht="47.25">
      <c r="A10" s="403">
        <v>5685</v>
      </c>
      <c r="B10" s="403" t="s">
        <v>254</v>
      </c>
      <c r="C10" s="403" t="s">
        <v>200</v>
      </c>
      <c r="D10" s="403">
        <v>6.4164799999999994E-2</v>
      </c>
      <c r="E10" s="441">
        <v>76.39</v>
      </c>
      <c r="F10" s="441">
        <f t="shared" si="0"/>
        <v>4.9000000000000004</v>
      </c>
      <c r="H10" s="150"/>
      <c r="I10" s="150"/>
    </row>
    <row r="11" spans="1:9" ht="47.25">
      <c r="A11" s="403">
        <v>5684</v>
      </c>
      <c r="B11" s="403" t="s">
        <v>253</v>
      </c>
      <c r="C11" s="403" t="s">
        <v>199</v>
      </c>
      <c r="D11" s="403">
        <v>6.8713000000000003E-3</v>
      </c>
      <c r="E11" s="441">
        <v>181.87</v>
      </c>
      <c r="F11" s="441">
        <f t="shared" si="0"/>
        <v>1.24</v>
      </c>
      <c r="H11" s="150"/>
      <c r="I11" s="150"/>
    </row>
    <row r="12" spans="1:9" ht="31.5">
      <c r="A12" s="403">
        <v>5632</v>
      </c>
      <c r="B12" s="403" t="s">
        <v>204</v>
      </c>
      <c r="C12" s="403" t="s">
        <v>200</v>
      </c>
      <c r="D12" s="403">
        <v>5.0262000000000001E-2</v>
      </c>
      <c r="E12" s="441">
        <v>107.88</v>
      </c>
      <c r="F12" s="441">
        <f t="shared" si="0"/>
        <v>5.42</v>
      </c>
      <c r="H12" s="150"/>
      <c r="I12" s="150"/>
    </row>
    <row r="13" spans="1:9" ht="31.5">
      <c r="A13" s="403">
        <v>5631</v>
      </c>
      <c r="B13" s="403" t="s">
        <v>203</v>
      </c>
      <c r="C13" s="403" t="s">
        <v>199</v>
      </c>
      <c r="D13" s="403">
        <v>2.07741E-2</v>
      </c>
      <c r="E13" s="441">
        <v>253.32</v>
      </c>
      <c r="F13" s="441">
        <f t="shared" si="0"/>
        <v>5.26</v>
      </c>
      <c r="H13" s="150"/>
      <c r="I13" s="150"/>
    </row>
    <row r="14" spans="1:9" ht="15.75">
      <c r="A14" s="439">
        <v>4741</v>
      </c>
      <c r="B14" s="439" t="s">
        <v>423</v>
      </c>
      <c r="C14" s="439" t="s">
        <v>373</v>
      </c>
      <c r="D14" s="439">
        <v>0.3</v>
      </c>
      <c r="E14" s="440">
        <f>COTAÇÃO!F109</f>
        <v>86</v>
      </c>
      <c r="F14" s="440">
        <f t="shared" si="0"/>
        <v>25.8</v>
      </c>
      <c r="H14" s="150"/>
      <c r="I14" s="150"/>
    </row>
    <row r="15" spans="1:9" ht="31.5">
      <c r="A15" s="439">
        <v>4730</v>
      </c>
      <c r="B15" s="439" t="s">
        <v>424</v>
      </c>
      <c r="C15" s="439" t="s">
        <v>373</v>
      </c>
      <c r="D15" s="439">
        <v>1.1000000000000001</v>
      </c>
      <c r="E15" s="442">
        <f>COTAÇÃO!F130</f>
        <v>57</v>
      </c>
      <c r="F15" s="440">
        <f t="shared" ref="F15" si="1">TRUNC(D15*E15,2)</f>
        <v>62.7</v>
      </c>
      <c r="H15" s="150"/>
      <c r="I15" s="150"/>
    </row>
    <row r="16" spans="1:9" ht="15.75">
      <c r="A16" s="404"/>
      <c r="B16" s="256"/>
      <c r="C16" s="256"/>
      <c r="D16" s="256"/>
      <c r="E16" s="257"/>
      <c r="F16" s="255">
        <f>SUM(F7:F15)</f>
        <v>117.47</v>
      </c>
      <c r="H16" s="150"/>
      <c r="I16" s="150"/>
    </row>
    <row r="17" spans="1:9" ht="15.75">
      <c r="A17" s="258"/>
      <c r="B17" s="259"/>
      <c r="C17" s="259"/>
      <c r="D17" s="259"/>
      <c r="E17" s="259"/>
      <c r="F17" s="260"/>
      <c r="H17" s="150"/>
      <c r="I17" s="150"/>
    </row>
    <row r="18" spans="1:9" ht="15.75">
      <c r="A18" s="443" t="s">
        <v>258</v>
      </c>
      <c r="B18" s="870" t="s">
        <v>392</v>
      </c>
      <c r="C18" s="871"/>
      <c r="D18" s="871"/>
      <c r="E18" s="871"/>
      <c r="F18" s="872"/>
      <c r="H18" s="150"/>
      <c r="I18" s="150"/>
    </row>
    <row r="19" spans="1:9" ht="15.75">
      <c r="A19" s="444" t="s">
        <v>169</v>
      </c>
      <c r="B19" s="444" t="s">
        <v>194</v>
      </c>
      <c r="C19" s="555" t="s">
        <v>195</v>
      </c>
      <c r="D19" s="554" t="s">
        <v>196</v>
      </c>
      <c r="E19" s="555" t="s">
        <v>197</v>
      </c>
      <c r="F19" s="555" t="s">
        <v>198</v>
      </c>
      <c r="H19" s="150"/>
      <c r="I19" s="150"/>
    </row>
    <row r="20" spans="1:9" ht="31.5">
      <c r="A20" s="445">
        <v>96464</v>
      </c>
      <c r="B20" s="445" t="s">
        <v>381</v>
      </c>
      <c r="C20" s="445" t="s">
        <v>200</v>
      </c>
      <c r="D20" s="445">
        <v>2.7322200000000001E-2</v>
      </c>
      <c r="E20" s="446">
        <v>100.09</v>
      </c>
      <c r="F20" s="441">
        <f t="shared" ref="F20:F29" si="2">TRUNC(D20*E20,2)</f>
        <v>2.73</v>
      </c>
      <c r="H20" s="150"/>
      <c r="I20" s="150"/>
    </row>
    <row r="21" spans="1:9" ht="31.5">
      <c r="A21" s="445">
        <v>96463</v>
      </c>
      <c r="B21" s="445" t="s">
        <v>380</v>
      </c>
      <c r="C21" s="445" t="s">
        <v>199</v>
      </c>
      <c r="D21" s="445">
        <v>4.0058000000000003E-3</v>
      </c>
      <c r="E21" s="446">
        <v>237.16</v>
      </c>
      <c r="F21" s="441">
        <f t="shared" si="2"/>
        <v>0.95</v>
      </c>
      <c r="H21" s="150"/>
      <c r="I21" s="150"/>
    </row>
    <row r="22" spans="1:9" s="150" customFormat="1" ht="15.75">
      <c r="A22" s="520">
        <v>96393</v>
      </c>
      <c r="B22" s="520" t="s">
        <v>409</v>
      </c>
      <c r="C22" s="520" t="s">
        <v>373</v>
      </c>
      <c r="D22" s="520">
        <v>1</v>
      </c>
      <c r="E22" s="521">
        <f>COTAÇÃO!F65</f>
        <v>85</v>
      </c>
      <c r="F22" s="440">
        <f t="shared" si="2"/>
        <v>85</v>
      </c>
    </row>
    <row r="23" spans="1:9" ht="15.75">
      <c r="A23" s="445">
        <v>88316</v>
      </c>
      <c r="B23" s="445" t="s">
        <v>201</v>
      </c>
      <c r="C23" s="445" t="s">
        <v>202</v>
      </c>
      <c r="D23" s="445">
        <v>3.1328000000000002E-2</v>
      </c>
      <c r="E23" s="446">
        <v>26.73</v>
      </c>
      <c r="F23" s="441">
        <f t="shared" si="2"/>
        <v>0.83</v>
      </c>
      <c r="H23" s="150"/>
      <c r="I23" s="150"/>
    </row>
    <row r="24" spans="1:9" ht="31.5">
      <c r="A24" s="445">
        <v>5934</v>
      </c>
      <c r="B24" s="445" t="s">
        <v>256</v>
      </c>
      <c r="C24" s="445" t="s">
        <v>200</v>
      </c>
      <c r="D24" s="445">
        <v>2.6166999999999999E-2</v>
      </c>
      <c r="E24" s="446">
        <v>123.76</v>
      </c>
      <c r="F24" s="441">
        <f t="shared" si="2"/>
        <v>3.23</v>
      </c>
      <c r="H24" s="150"/>
      <c r="I24" s="150"/>
    </row>
    <row r="25" spans="1:9" ht="31.5">
      <c r="A25" s="445">
        <v>5932</v>
      </c>
      <c r="B25" s="445" t="s">
        <v>255</v>
      </c>
      <c r="C25" s="445" t="s">
        <v>199</v>
      </c>
      <c r="D25" s="445">
        <v>5.1609999999999998E-3</v>
      </c>
      <c r="E25" s="446">
        <v>308.08</v>
      </c>
      <c r="F25" s="441">
        <f t="shared" si="2"/>
        <v>1.59</v>
      </c>
      <c r="H25" s="150"/>
      <c r="I25" s="150"/>
    </row>
    <row r="26" spans="1:9" ht="47.25">
      <c r="A26" s="445">
        <v>5903</v>
      </c>
      <c r="B26" s="445" t="s">
        <v>260</v>
      </c>
      <c r="C26" s="445" t="s">
        <v>200</v>
      </c>
      <c r="D26" s="445">
        <v>2.9038899999999999E-2</v>
      </c>
      <c r="E26" s="447">
        <v>81.87</v>
      </c>
      <c r="F26" s="441">
        <f t="shared" si="2"/>
        <v>2.37</v>
      </c>
      <c r="H26" s="150"/>
      <c r="I26" s="150"/>
    </row>
    <row r="27" spans="1:9" ht="47.25">
      <c r="A27" s="445">
        <v>5901</v>
      </c>
      <c r="B27" s="445" t="s">
        <v>259</v>
      </c>
      <c r="C27" s="445" t="s">
        <v>199</v>
      </c>
      <c r="D27" s="445">
        <v>2.2891999999999999E-3</v>
      </c>
      <c r="E27" s="448">
        <v>365.13</v>
      </c>
      <c r="F27" s="441">
        <f t="shared" si="2"/>
        <v>0.83</v>
      </c>
      <c r="H27" s="150"/>
      <c r="I27" s="150"/>
    </row>
    <row r="28" spans="1:9" ht="47.25">
      <c r="A28" s="445">
        <v>5685</v>
      </c>
      <c r="B28" s="445" t="s">
        <v>254</v>
      </c>
      <c r="C28" s="445" t="s">
        <v>200</v>
      </c>
      <c r="D28" s="445">
        <v>2.21663E-2</v>
      </c>
      <c r="E28" s="446">
        <v>76.39</v>
      </c>
      <c r="F28" s="441">
        <f t="shared" si="2"/>
        <v>1.69</v>
      </c>
      <c r="H28" s="150"/>
      <c r="I28" s="150"/>
    </row>
    <row r="29" spans="1:9" ht="47.25">
      <c r="A29" s="445">
        <v>5684</v>
      </c>
      <c r="B29" s="445" t="s">
        <v>253</v>
      </c>
      <c r="C29" s="445" t="s">
        <v>199</v>
      </c>
      <c r="D29" s="445">
        <v>9.1617000000000001E-3</v>
      </c>
      <c r="E29" s="446">
        <v>181.87</v>
      </c>
      <c r="F29" s="441">
        <f t="shared" si="2"/>
        <v>1.66</v>
      </c>
      <c r="H29" s="150"/>
      <c r="I29" s="150"/>
    </row>
    <row r="30" spans="1:9" ht="15.75">
      <c r="A30" s="261"/>
      <c r="B30" s="261"/>
      <c r="C30" s="261"/>
      <c r="D30" s="261"/>
      <c r="E30" s="261"/>
      <c r="F30" s="405">
        <f>SUM(F20:F29)</f>
        <v>100.88000000000001</v>
      </c>
      <c r="H30" s="150"/>
      <c r="I30" s="150"/>
    </row>
    <row r="31" spans="1:9">
      <c r="H31" s="150"/>
      <c r="I31" s="150"/>
    </row>
  </sheetData>
  <mergeCells count="8">
    <mergeCell ref="B18:F18"/>
    <mergeCell ref="B1:F1"/>
    <mergeCell ref="A1:A3"/>
    <mergeCell ref="C2:D2"/>
    <mergeCell ref="C3:D3"/>
    <mergeCell ref="E2:E3"/>
    <mergeCell ref="F2:F3"/>
    <mergeCell ref="B5:F5"/>
  </mergeCells>
  <printOptions horizontalCentered="1"/>
  <pageMargins left="0.51181102362204722" right="0.51181102362204722" top="0.78740157480314965" bottom="0.59055118110236227" header="0.31496062992125984" footer="0.31496062992125984"/>
  <pageSetup paperSize="9" scale="60" fitToHeight="0" orientation="landscape" r:id="rId1"/>
  <headerFooter>
    <oddFooter>&amp;CEng° Darcio Pagani Vieira
Crea/SC - 077.222-9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0"/>
  <sheetViews>
    <sheetView showGridLines="0" view="pageBreakPreview" zoomScale="115" zoomScaleNormal="85" zoomScaleSheetLayoutView="115" workbookViewId="0">
      <pane ySplit="1" topLeftCell="A2" activePane="bottomLeft" state="frozen"/>
      <selection activeCell="C19" sqref="C19"/>
      <selection pane="bottomLeft" activeCell="C19" sqref="C19"/>
    </sheetView>
  </sheetViews>
  <sheetFormatPr defaultColWidth="9.140625" defaultRowHeight="15"/>
  <cols>
    <col min="1" max="5" width="26" style="21" customWidth="1"/>
    <col min="6" max="6" width="26" style="400" customWidth="1"/>
    <col min="7" max="16384" width="9.140625" style="21"/>
  </cols>
  <sheetData>
    <row r="1" spans="1:7" ht="38.25" customHeight="1">
      <c r="A1" s="886"/>
      <c r="B1" s="886" t="s">
        <v>247</v>
      </c>
      <c r="C1" s="886"/>
      <c r="D1" s="886"/>
      <c r="E1" s="886"/>
      <c r="F1" s="886"/>
    </row>
    <row r="2" spans="1:7">
      <c r="A2" s="886"/>
      <c r="B2" s="629" t="str">
        <f>PAVIM.!$G$2</f>
        <v>PREFEITURA MUNICIPAL DE MARACAJÁ</v>
      </c>
      <c r="C2" s="629"/>
      <c r="D2" s="629" t="str">
        <f>PAVIM.!$H$2</f>
        <v>BAIRRO: ESPIGÃO GRANDE</v>
      </c>
      <c r="E2" s="629"/>
      <c r="F2" s="394" t="str">
        <f>PAVIM.!M2</f>
        <v>ESTADO: SANTA CATARINA</v>
      </c>
    </row>
    <row r="3" spans="1:7" ht="31.5" customHeight="1">
      <c r="A3" s="886"/>
      <c r="B3" s="648" t="str">
        <f>PAVIM.!$G$3</f>
        <v>RUA PARANÁ - TRECHO 01</v>
      </c>
      <c r="C3" s="648"/>
      <c r="D3" s="887" t="str">
        <f>PAVIM.!$K$2</f>
        <v>MUNICIPIO: MARACAJÁ</v>
      </c>
      <c r="E3" s="629"/>
      <c r="F3" s="266" t="str">
        <f ca="1">PAVIM.!M3</f>
        <v>DATA: 12/08/26</v>
      </c>
    </row>
    <row r="4" spans="1:7" ht="12.75" customHeight="1">
      <c r="A4" s="239"/>
      <c r="B4" s="268"/>
      <c r="C4" s="268"/>
      <c r="D4" s="268"/>
      <c r="E4" s="268"/>
      <c r="F4" s="269"/>
    </row>
    <row r="5" spans="1:7" hidden="1">
      <c r="A5" s="391" t="s">
        <v>101</v>
      </c>
      <c r="B5" s="392" t="s">
        <v>269</v>
      </c>
      <c r="C5" s="392"/>
      <c r="D5" s="392"/>
      <c r="E5" s="392"/>
      <c r="F5" s="342" t="s">
        <v>270</v>
      </c>
    </row>
    <row r="6" spans="1:7" ht="30" hidden="1">
      <c r="A6" s="379" t="s">
        <v>102</v>
      </c>
      <c r="B6" s="379" t="s">
        <v>103</v>
      </c>
      <c r="C6" s="379" t="s">
        <v>104</v>
      </c>
      <c r="D6" s="379" t="s">
        <v>105</v>
      </c>
      <c r="E6" s="379" t="s">
        <v>106</v>
      </c>
      <c r="F6" s="379" t="s">
        <v>205</v>
      </c>
    </row>
    <row r="7" spans="1:7" ht="15" hidden="1" customHeight="1">
      <c r="A7" s="160" t="s">
        <v>271</v>
      </c>
      <c r="B7" s="160" t="s">
        <v>272</v>
      </c>
      <c r="C7" s="159">
        <v>45149</v>
      </c>
      <c r="D7" s="160" t="s">
        <v>273</v>
      </c>
      <c r="E7" s="160" t="s">
        <v>274</v>
      </c>
      <c r="F7" s="380"/>
      <c r="G7" s="355"/>
    </row>
    <row r="8" spans="1:7" hidden="1">
      <c r="A8" s="160" t="s">
        <v>275</v>
      </c>
      <c r="B8" s="160" t="s">
        <v>276</v>
      </c>
      <c r="C8" s="159">
        <v>45149</v>
      </c>
      <c r="D8" s="160" t="s">
        <v>277</v>
      </c>
      <c r="E8" s="160" t="s">
        <v>278</v>
      </c>
      <c r="F8" s="393">
        <v>49.22</v>
      </c>
    </row>
    <row r="9" spans="1:7" ht="15" hidden="1" customHeight="1">
      <c r="A9" s="160" t="s">
        <v>279</v>
      </c>
      <c r="B9" s="160" t="s">
        <v>280</v>
      </c>
      <c r="C9" s="159">
        <v>45149</v>
      </c>
      <c r="D9" s="160" t="s">
        <v>281</v>
      </c>
      <c r="E9" s="160" t="s">
        <v>282</v>
      </c>
      <c r="F9" s="393">
        <v>40</v>
      </c>
    </row>
    <row r="10" spans="1:7" hidden="1">
      <c r="A10" s="160" t="s">
        <v>283</v>
      </c>
      <c r="B10" s="160" t="s">
        <v>284</v>
      </c>
      <c r="C10" s="159">
        <v>45149</v>
      </c>
      <c r="D10" s="160" t="s">
        <v>285</v>
      </c>
      <c r="E10" s="160" t="s">
        <v>286</v>
      </c>
      <c r="F10" s="393">
        <v>56</v>
      </c>
    </row>
    <row r="11" spans="1:7" hidden="1">
      <c r="A11" s="160" t="s">
        <v>287</v>
      </c>
      <c r="B11" s="160" t="s">
        <v>288</v>
      </c>
      <c r="C11" s="159">
        <v>45149</v>
      </c>
      <c r="D11" s="160" t="s">
        <v>289</v>
      </c>
      <c r="E11" s="160" t="s">
        <v>290</v>
      </c>
      <c r="F11" s="393">
        <v>62</v>
      </c>
    </row>
    <row r="12" spans="1:7" hidden="1">
      <c r="A12" s="356" t="s">
        <v>107</v>
      </c>
      <c r="B12" s="204">
        <v>45149</v>
      </c>
      <c r="C12" s="357"/>
      <c r="D12" s="883" t="s">
        <v>245</v>
      </c>
      <c r="E12" s="883"/>
      <c r="F12" s="381">
        <f>TRUNC(MEDIAN(F7:F11),2)</f>
        <v>52.61</v>
      </c>
    </row>
    <row r="13" spans="1:7" hidden="1">
      <c r="A13" s="358"/>
      <c r="B13" s="250"/>
      <c r="C13" s="250"/>
      <c r="D13" s="250"/>
      <c r="E13" s="250"/>
      <c r="F13" s="395"/>
      <c r="G13" s="359"/>
    </row>
    <row r="14" spans="1:7" hidden="1">
      <c r="A14" s="382" t="s">
        <v>101</v>
      </c>
      <c r="B14" s="341" t="s">
        <v>291</v>
      </c>
      <c r="C14" s="341"/>
      <c r="D14" s="341"/>
      <c r="E14" s="341"/>
      <c r="F14" s="342" t="s">
        <v>270</v>
      </c>
      <c r="G14" s="359"/>
    </row>
    <row r="15" spans="1:7" ht="30" hidden="1">
      <c r="A15" s="379" t="s">
        <v>102</v>
      </c>
      <c r="B15" s="379" t="s">
        <v>103</v>
      </c>
      <c r="C15" s="379" t="s">
        <v>104</v>
      </c>
      <c r="D15" s="379" t="s">
        <v>105</v>
      </c>
      <c r="E15" s="379" t="s">
        <v>106</v>
      </c>
      <c r="F15" s="379" t="s">
        <v>205</v>
      </c>
      <c r="G15" s="359"/>
    </row>
    <row r="16" spans="1:7" hidden="1">
      <c r="A16" s="160" t="s">
        <v>271</v>
      </c>
      <c r="B16" s="160" t="s">
        <v>272</v>
      </c>
      <c r="C16" s="159">
        <v>45149</v>
      </c>
      <c r="D16" s="160" t="s">
        <v>273</v>
      </c>
      <c r="E16" s="160" t="s">
        <v>274</v>
      </c>
      <c r="F16" s="380"/>
    </row>
    <row r="17" spans="1:7" hidden="1">
      <c r="A17" s="160" t="s">
        <v>275</v>
      </c>
      <c r="B17" s="160" t="s">
        <v>276</v>
      </c>
      <c r="C17" s="159">
        <v>45149</v>
      </c>
      <c r="D17" s="160" t="s">
        <v>277</v>
      </c>
      <c r="E17" s="160" t="s">
        <v>278</v>
      </c>
      <c r="F17" s="393">
        <v>71.83</v>
      </c>
    </row>
    <row r="18" spans="1:7" hidden="1">
      <c r="A18" s="160" t="s">
        <v>279</v>
      </c>
      <c r="B18" s="160" t="s">
        <v>280</v>
      </c>
      <c r="C18" s="159">
        <v>45149</v>
      </c>
      <c r="D18" s="160" t="s">
        <v>281</v>
      </c>
      <c r="E18" s="160" t="s">
        <v>282</v>
      </c>
      <c r="F18" s="393">
        <v>55</v>
      </c>
    </row>
    <row r="19" spans="1:7" hidden="1">
      <c r="A19" s="160" t="s">
        <v>283</v>
      </c>
      <c r="B19" s="160" t="s">
        <v>284</v>
      </c>
      <c r="C19" s="159">
        <v>45149</v>
      </c>
      <c r="D19" s="160" t="s">
        <v>285</v>
      </c>
      <c r="E19" s="160" t="s">
        <v>286</v>
      </c>
      <c r="F19" s="393">
        <v>86</v>
      </c>
    </row>
    <row r="20" spans="1:7" hidden="1">
      <c r="A20" s="160" t="s">
        <v>292</v>
      </c>
      <c r="B20" s="160" t="s">
        <v>288</v>
      </c>
      <c r="C20" s="159">
        <v>45149</v>
      </c>
      <c r="D20" s="160" t="s">
        <v>289</v>
      </c>
      <c r="E20" s="160" t="s">
        <v>290</v>
      </c>
      <c r="F20" s="393">
        <v>90</v>
      </c>
    </row>
    <row r="21" spans="1:7" hidden="1">
      <c r="A21" s="360" t="s">
        <v>107</v>
      </c>
      <c r="B21" s="204">
        <v>45149</v>
      </c>
      <c r="C21" s="361"/>
      <c r="D21" s="883" t="s">
        <v>245</v>
      </c>
      <c r="E21" s="883"/>
      <c r="F21" s="381">
        <f>TRUNC(MEDIAN(F16:F20),2)</f>
        <v>78.91</v>
      </c>
    </row>
    <row r="22" spans="1:7" hidden="1">
      <c r="A22" s="362"/>
      <c r="B22" s="363"/>
      <c r="C22" s="363"/>
      <c r="D22" s="363"/>
      <c r="E22" s="363"/>
      <c r="F22" s="396"/>
      <c r="G22" s="359"/>
    </row>
    <row r="23" spans="1:7" hidden="1">
      <c r="A23" s="382" t="s">
        <v>101</v>
      </c>
      <c r="B23" s="341" t="s">
        <v>293</v>
      </c>
      <c r="C23" s="341"/>
      <c r="D23" s="341"/>
      <c r="E23" s="341"/>
      <c r="F23" s="342" t="s">
        <v>270</v>
      </c>
      <c r="G23" s="359"/>
    </row>
    <row r="24" spans="1:7" ht="30" hidden="1">
      <c r="A24" s="379" t="s">
        <v>102</v>
      </c>
      <c r="B24" s="379" t="s">
        <v>103</v>
      </c>
      <c r="C24" s="379" t="s">
        <v>104</v>
      </c>
      <c r="D24" s="379" t="s">
        <v>105</v>
      </c>
      <c r="E24" s="379" t="s">
        <v>106</v>
      </c>
      <c r="F24" s="344" t="s">
        <v>205</v>
      </c>
      <c r="G24" s="359"/>
    </row>
    <row r="25" spans="1:7" hidden="1">
      <c r="A25" s="160" t="s">
        <v>271</v>
      </c>
      <c r="B25" s="160" t="s">
        <v>272</v>
      </c>
      <c r="C25" s="159">
        <v>45149</v>
      </c>
      <c r="D25" s="160" t="s">
        <v>273</v>
      </c>
      <c r="E25" s="160" t="s">
        <v>274</v>
      </c>
      <c r="F25" s="380"/>
    </row>
    <row r="26" spans="1:7" hidden="1">
      <c r="A26" s="160" t="s">
        <v>275</v>
      </c>
      <c r="B26" s="160" t="s">
        <v>276</v>
      </c>
      <c r="C26" s="159">
        <v>45149</v>
      </c>
      <c r="D26" s="160" t="s">
        <v>277</v>
      </c>
      <c r="E26" s="160" t="s">
        <v>278</v>
      </c>
      <c r="F26" s="380"/>
    </row>
    <row r="27" spans="1:7" hidden="1">
      <c r="A27" s="160" t="s">
        <v>279</v>
      </c>
      <c r="B27" s="160" t="s">
        <v>280</v>
      </c>
      <c r="C27" s="159">
        <v>45366</v>
      </c>
      <c r="D27" s="160" t="s">
        <v>281</v>
      </c>
      <c r="E27" s="160" t="s">
        <v>282</v>
      </c>
      <c r="F27" s="393">
        <v>150</v>
      </c>
    </row>
    <row r="28" spans="1:7" hidden="1">
      <c r="A28" s="160" t="s">
        <v>283</v>
      </c>
      <c r="B28" s="160" t="s">
        <v>284</v>
      </c>
      <c r="C28" s="159">
        <v>45366</v>
      </c>
      <c r="D28" s="160" t="s">
        <v>285</v>
      </c>
      <c r="E28" s="160" t="s">
        <v>286</v>
      </c>
      <c r="F28" s="393">
        <v>213</v>
      </c>
    </row>
    <row r="29" spans="1:7" hidden="1">
      <c r="A29" s="160" t="s">
        <v>292</v>
      </c>
      <c r="B29" s="160" t="s">
        <v>288</v>
      </c>
      <c r="C29" s="159">
        <v>45366</v>
      </c>
      <c r="D29" s="160" t="s">
        <v>289</v>
      </c>
      <c r="E29" s="160" t="s">
        <v>290</v>
      </c>
      <c r="F29" s="393">
        <v>180</v>
      </c>
    </row>
    <row r="30" spans="1:7" hidden="1">
      <c r="A30" s="360" t="s">
        <v>107</v>
      </c>
      <c r="B30" s="204">
        <v>45366</v>
      </c>
      <c r="C30" s="361"/>
      <c r="D30" s="883" t="s">
        <v>245</v>
      </c>
      <c r="E30" s="883"/>
      <c r="F30" s="397">
        <f>TRUNC(MEDIAN(F25:F29),2)</f>
        <v>180</v>
      </c>
    </row>
    <row r="31" spans="1:7" hidden="1">
      <c r="A31" s="362"/>
      <c r="B31" s="363"/>
      <c r="C31" s="363"/>
      <c r="D31" s="363"/>
      <c r="E31" s="363"/>
      <c r="F31" s="396"/>
    </row>
    <row r="32" spans="1:7" hidden="1">
      <c r="A32" s="382" t="s">
        <v>101</v>
      </c>
      <c r="B32" s="341" t="s">
        <v>294</v>
      </c>
      <c r="C32" s="341"/>
      <c r="D32" s="341"/>
      <c r="E32" s="341"/>
      <c r="F32" s="342" t="s">
        <v>270</v>
      </c>
      <c r="G32" s="359"/>
    </row>
    <row r="33" spans="1:9" ht="30" hidden="1">
      <c r="A33" s="379" t="s">
        <v>102</v>
      </c>
      <c r="B33" s="379" t="s">
        <v>103</v>
      </c>
      <c r="C33" s="379" t="s">
        <v>104</v>
      </c>
      <c r="D33" s="379" t="s">
        <v>105</v>
      </c>
      <c r="E33" s="379" t="s">
        <v>106</v>
      </c>
      <c r="F33" s="344" t="s">
        <v>205</v>
      </c>
      <c r="G33" s="359"/>
    </row>
    <row r="34" spans="1:9" hidden="1">
      <c r="A34" s="160" t="s">
        <v>271</v>
      </c>
      <c r="B34" s="160" t="s">
        <v>272</v>
      </c>
      <c r="C34" s="159">
        <v>45149</v>
      </c>
      <c r="D34" s="160" t="s">
        <v>273</v>
      </c>
      <c r="E34" s="160" t="s">
        <v>274</v>
      </c>
      <c r="F34" s="380"/>
    </row>
    <row r="35" spans="1:9" hidden="1">
      <c r="A35" s="160" t="s">
        <v>275</v>
      </c>
      <c r="B35" s="160" t="s">
        <v>276</v>
      </c>
      <c r="C35" s="159">
        <v>45149</v>
      </c>
      <c r="D35" s="160" t="s">
        <v>277</v>
      </c>
      <c r="E35" s="160" t="s">
        <v>278</v>
      </c>
      <c r="F35" s="393">
        <v>267.27</v>
      </c>
    </row>
    <row r="36" spans="1:9" hidden="1">
      <c r="A36" s="160" t="s">
        <v>279</v>
      </c>
      <c r="B36" s="160" t="s">
        <v>280</v>
      </c>
      <c r="C36" s="159">
        <v>45149</v>
      </c>
      <c r="D36" s="160" t="s">
        <v>281</v>
      </c>
      <c r="E36" s="160" t="s">
        <v>282</v>
      </c>
      <c r="F36" s="393">
        <v>225</v>
      </c>
    </row>
    <row r="37" spans="1:9" hidden="1">
      <c r="A37" s="160" t="s">
        <v>283</v>
      </c>
      <c r="B37" s="160" t="s">
        <v>284</v>
      </c>
      <c r="C37" s="159">
        <v>45149</v>
      </c>
      <c r="D37" s="160" t="s">
        <v>285</v>
      </c>
      <c r="E37" s="160" t="s">
        <v>286</v>
      </c>
      <c r="F37" s="393">
        <v>265</v>
      </c>
    </row>
    <row r="38" spans="1:9" hidden="1">
      <c r="A38" s="160" t="s">
        <v>292</v>
      </c>
      <c r="B38" s="160" t="s">
        <v>288</v>
      </c>
      <c r="C38" s="159">
        <v>45149</v>
      </c>
      <c r="D38" s="160" t="s">
        <v>289</v>
      </c>
      <c r="E38" s="160" t="s">
        <v>290</v>
      </c>
      <c r="F38" s="393">
        <v>280</v>
      </c>
    </row>
    <row r="39" spans="1:9" hidden="1">
      <c r="A39" s="360" t="s">
        <v>107</v>
      </c>
      <c r="B39" s="204">
        <v>45149</v>
      </c>
      <c r="C39" s="361"/>
      <c r="D39" s="883" t="s">
        <v>245</v>
      </c>
      <c r="E39" s="883"/>
      <c r="F39" s="381">
        <f>TRUNC(MEDIAN(F34:F38),2)</f>
        <v>266.13</v>
      </c>
    </row>
    <row r="40" spans="1:9" ht="15" hidden="1" customHeight="1">
      <c r="A40" s="362"/>
      <c r="B40" s="363"/>
      <c r="C40" s="363"/>
      <c r="D40" s="363"/>
      <c r="E40" s="363"/>
      <c r="F40" s="396"/>
    </row>
    <row r="41" spans="1:9" ht="15" hidden="1" customHeight="1">
      <c r="A41" s="382" t="s">
        <v>101</v>
      </c>
      <c r="B41" s="341" t="s">
        <v>295</v>
      </c>
      <c r="C41" s="341"/>
      <c r="D41" s="341"/>
      <c r="E41" s="384"/>
      <c r="F41" s="385" t="s">
        <v>270</v>
      </c>
    </row>
    <row r="42" spans="1:9" ht="15" hidden="1" customHeight="1">
      <c r="A42" s="343" t="s">
        <v>102</v>
      </c>
      <c r="B42" s="343" t="s">
        <v>103</v>
      </c>
      <c r="C42" s="343" t="s">
        <v>104</v>
      </c>
      <c r="D42" s="343" t="s">
        <v>105</v>
      </c>
      <c r="E42" s="343" t="s">
        <v>106</v>
      </c>
      <c r="F42" s="343" t="s">
        <v>205</v>
      </c>
    </row>
    <row r="43" spans="1:9" ht="15" hidden="1" customHeight="1">
      <c r="A43" s="160" t="s">
        <v>271</v>
      </c>
      <c r="B43" s="160" t="s">
        <v>272</v>
      </c>
      <c r="C43" s="159">
        <v>44503</v>
      </c>
      <c r="D43" s="160" t="s">
        <v>273</v>
      </c>
      <c r="E43" s="160" t="s">
        <v>274</v>
      </c>
      <c r="F43" s="380">
        <v>22.5</v>
      </c>
    </row>
    <row r="44" spans="1:9" ht="15" hidden="1" customHeight="1">
      <c r="A44" s="160" t="s">
        <v>275</v>
      </c>
      <c r="B44" s="160" t="s">
        <v>276</v>
      </c>
      <c r="C44" s="159">
        <v>44503</v>
      </c>
      <c r="D44" s="160" t="s">
        <v>277</v>
      </c>
      <c r="E44" s="160" t="s">
        <v>278</v>
      </c>
      <c r="F44" s="380">
        <v>27.84</v>
      </c>
    </row>
    <row r="45" spans="1:9" ht="15" hidden="1" customHeight="1">
      <c r="A45" s="160" t="s">
        <v>279</v>
      </c>
      <c r="B45" s="160" t="s">
        <v>280</v>
      </c>
      <c r="C45" s="159">
        <v>44503</v>
      </c>
      <c r="D45" s="160" t="s">
        <v>281</v>
      </c>
      <c r="E45" s="160" t="s">
        <v>282</v>
      </c>
      <c r="F45" s="380">
        <v>23</v>
      </c>
    </row>
    <row r="46" spans="1:9" ht="15" hidden="1" customHeight="1">
      <c r="A46" s="364" t="s">
        <v>107</v>
      </c>
      <c r="B46" s="365">
        <v>44503</v>
      </c>
      <c r="C46" s="366"/>
      <c r="D46" s="888" t="s">
        <v>245</v>
      </c>
      <c r="E46" s="883"/>
      <c r="F46" s="383">
        <f>MEDIAN(F43:F45)</f>
        <v>23</v>
      </c>
      <c r="G46" s="367"/>
      <c r="H46" s="367"/>
      <c r="I46" s="368"/>
    </row>
    <row r="47" spans="1:9" hidden="1">
      <c r="A47" s="362"/>
      <c r="B47" s="363"/>
      <c r="C47" s="363"/>
      <c r="D47" s="363"/>
      <c r="E47" s="363"/>
      <c r="F47" s="396"/>
    </row>
    <row r="48" spans="1:9" hidden="1">
      <c r="A48" s="382" t="s">
        <v>101</v>
      </c>
      <c r="B48" s="341" t="s">
        <v>296</v>
      </c>
      <c r="C48" s="341"/>
      <c r="D48" s="341"/>
      <c r="E48" s="341"/>
      <c r="F48" s="342" t="s">
        <v>270</v>
      </c>
      <c r="G48" s="359"/>
    </row>
    <row r="49" spans="1:7" ht="30" hidden="1">
      <c r="A49" s="379" t="s">
        <v>102</v>
      </c>
      <c r="B49" s="379" t="s">
        <v>103</v>
      </c>
      <c r="C49" s="379" t="s">
        <v>104</v>
      </c>
      <c r="D49" s="379" t="s">
        <v>105</v>
      </c>
      <c r="E49" s="379" t="s">
        <v>106</v>
      </c>
      <c r="F49" s="344" t="s">
        <v>205</v>
      </c>
      <c r="G49" s="359"/>
    </row>
    <row r="50" spans="1:7" hidden="1">
      <c r="A50" s="160" t="s">
        <v>271</v>
      </c>
      <c r="B50" s="160" t="s">
        <v>272</v>
      </c>
      <c r="C50" s="159">
        <v>45149</v>
      </c>
      <c r="D50" s="160" t="s">
        <v>273</v>
      </c>
      <c r="E50" s="160" t="s">
        <v>274</v>
      </c>
      <c r="F50" s="380"/>
    </row>
    <row r="51" spans="1:7" hidden="1">
      <c r="A51" s="160" t="s">
        <v>275</v>
      </c>
      <c r="B51" s="160" t="s">
        <v>276</v>
      </c>
      <c r="C51" s="159">
        <v>45149</v>
      </c>
      <c r="D51" s="160" t="s">
        <v>277</v>
      </c>
      <c r="E51" s="160" t="s">
        <v>278</v>
      </c>
      <c r="F51" s="393">
        <v>381.95</v>
      </c>
    </row>
    <row r="52" spans="1:7" hidden="1">
      <c r="A52" s="160" t="s">
        <v>279</v>
      </c>
      <c r="B52" s="160" t="s">
        <v>280</v>
      </c>
      <c r="C52" s="159">
        <v>45149</v>
      </c>
      <c r="D52" s="160" t="s">
        <v>281</v>
      </c>
      <c r="E52" s="160" t="s">
        <v>282</v>
      </c>
      <c r="F52" s="393">
        <v>285</v>
      </c>
    </row>
    <row r="53" spans="1:7" hidden="1">
      <c r="A53" s="160" t="s">
        <v>283</v>
      </c>
      <c r="B53" s="160" t="s">
        <v>284</v>
      </c>
      <c r="C53" s="159">
        <v>45149</v>
      </c>
      <c r="D53" s="160" t="s">
        <v>285</v>
      </c>
      <c r="E53" s="160" t="s">
        <v>286</v>
      </c>
      <c r="F53" s="393">
        <v>405</v>
      </c>
    </row>
    <row r="54" spans="1:7" hidden="1">
      <c r="A54" s="160" t="s">
        <v>292</v>
      </c>
      <c r="B54" s="160" t="s">
        <v>288</v>
      </c>
      <c r="C54" s="159">
        <v>45149</v>
      </c>
      <c r="D54" s="160" t="s">
        <v>289</v>
      </c>
      <c r="E54" s="160" t="s">
        <v>290</v>
      </c>
      <c r="F54" s="393">
        <v>380</v>
      </c>
    </row>
    <row r="55" spans="1:7" hidden="1">
      <c r="A55" s="360" t="s">
        <v>107</v>
      </c>
      <c r="B55" s="204">
        <v>45149</v>
      </c>
      <c r="C55" s="361"/>
      <c r="D55" s="883" t="s">
        <v>245</v>
      </c>
      <c r="E55" s="883"/>
      <c r="F55" s="381">
        <f>TRUNC(MEDIAN(F50:F54),2)</f>
        <v>380.97</v>
      </c>
    </row>
    <row r="56" spans="1:7" hidden="1">
      <c r="A56" s="369"/>
      <c r="B56" s="370"/>
      <c r="C56" s="371"/>
      <c r="D56" s="250"/>
      <c r="E56" s="250"/>
      <c r="F56" s="395"/>
    </row>
    <row r="57" spans="1:7">
      <c r="A57" s="522" t="s">
        <v>101</v>
      </c>
      <c r="B57" s="523" t="s">
        <v>297</v>
      </c>
      <c r="C57" s="523"/>
      <c r="D57" s="523"/>
      <c r="E57" s="523"/>
      <c r="F57" s="524" t="s">
        <v>298</v>
      </c>
    </row>
    <row r="58" spans="1:7" ht="30">
      <c r="A58" s="525" t="s">
        <v>102</v>
      </c>
      <c r="B58" s="525" t="s">
        <v>103</v>
      </c>
      <c r="C58" s="525" t="s">
        <v>104</v>
      </c>
      <c r="D58" s="525" t="s">
        <v>105</v>
      </c>
      <c r="E58" s="525" t="s">
        <v>106</v>
      </c>
      <c r="F58" s="344" t="s">
        <v>205</v>
      </c>
    </row>
    <row r="59" spans="1:7">
      <c r="A59" s="526" t="s">
        <v>299</v>
      </c>
      <c r="B59" s="526" t="s">
        <v>300</v>
      </c>
      <c r="C59" s="527">
        <v>46068</v>
      </c>
      <c r="D59" s="526" t="s">
        <v>301</v>
      </c>
      <c r="E59" s="526" t="s">
        <v>302</v>
      </c>
      <c r="F59" s="393">
        <v>85</v>
      </c>
    </row>
    <row r="60" spans="1:7" ht="15" hidden="1" customHeight="1">
      <c r="A60" s="526" t="s">
        <v>303</v>
      </c>
      <c r="B60" s="526" t="s">
        <v>304</v>
      </c>
      <c r="C60" s="527">
        <v>45823</v>
      </c>
      <c r="D60" s="526" t="s">
        <v>305</v>
      </c>
      <c r="E60" s="526" t="s">
        <v>306</v>
      </c>
      <c r="F60" s="380"/>
      <c r="G60" s="372"/>
    </row>
    <row r="61" spans="1:7" ht="15" hidden="1" customHeight="1">
      <c r="A61" s="526" t="s">
        <v>307</v>
      </c>
      <c r="B61" s="526" t="s">
        <v>308</v>
      </c>
      <c r="C61" s="527">
        <v>45823</v>
      </c>
      <c r="D61" s="526" t="s">
        <v>309</v>
      </c>
      <c r="E61" s="526" t="s">
        <v>310</v>
      </c>
      <c r="F61" s="380"/>
    </row>
    <row r="62" spans="1:7">
      <c r="A62" s="526" t="s">
        <v>311</v>
      </c>
      <c r="B62" s="526" t="s">
        <v>312</v>
      </c>
      <c r="C62" s="527">
        <v>46068</v>
      </c>
      <c r="D62" s="526" t="s">
        <v>313</v>
      </c>
      <c r="E62" s="526" t="s">
        <v>314</v>
      </c>
      <c r="F62" s="393">
        <v>100</v>
      </c>
    </row>
    <row r="63" spans="1:7">
      <c r="A63" s="526" t="s">
        <v>315</v>
      </c>
      <c r="B63" s="526" t="s">
        <v>316</v>
      </c>
      <c r="C63" s="527">
        <v>46068</v>
      </c>
      <c r="D63" s="526" t="s">
        <v>317</v>
      </c>
      <c r="E63" s="526" t="s">
        <v>318</v>
      </c>
      <c r="F63" s="393">
        <v>79.23</v>
      </c>
    </row>
    <row r="64" spans="1:7" ht="15" hidden="1" customHeight="1">
      <c r="A64" s="526" t="s">
        <v>319</v>
      </c>
      <c r="B64" s="526" t="s">
        <v>320</v>
      </c>
      <c r="C64" s="527">
        <v>45366</v>
      </c>
      <c r="D64" s="526" t="s">
        <v>321</v>
      </c>
      <c r="E64" s="526" t="s">
        <v>322</v>
      </c>
      <c r="F64" s="393"/>
    </row>
    <row r="65" spans="1:9">
      <c r="A65" s="528" t="s">
        <v>107</v>
      </c>
      <c r="B65" s="529">
        <v>46068</v>
      </c>
      <c r="C65" s="530"/>
      <c r="D65" s="884" t="s">
        <v>245</v>
      </c>
      <c r="E65" s="884"/>
      <c r="F65" s="531">
        <f>TRUNC(MEDIAN(F59:F64),2)</f>
        <v>85</v>
      </c>
      <c r="G65" s="367"/>
      <c r="H65" s="367"/>
      <c r="I65" s="368"/>
    </row>
    <row r="66" spans="1:9" ht="15" hidden="1" customHeight="1">
      <c r="A66" s="6"/>
      <c r="B66" s="173"/>
      <c r="C66" s="173"/>
      <c r="D66" s="173"/>
      <c r="E66" s="173"/>
      <c r="F66" s="141"/>
    </row>
    <row r="67" spans="1:9" ht="15" hidden="1" customHeight="1">
      <c r="A67" s="522" t="s">
        <v>101</v>
      </c>
      <c r="B67" s="885" t="s">
        <v>323</v>
      </c>
      <c r="C67" s="885"/>
      <c r="D67" s="523"/>
      <c r="E67" s="523"/>
      <c r="F67" s="524" t="s">
        <v>298</v>
      </c>
    </row>
    <row r="68" spans="1:9" ht="15" hidden="1" customHeight="1">
      <c r="A68" s="525" t="s">
        <v>102</v>
      </c>
      <c r="B68" s="525" t="s">
        <v>103</v>
      </c>
      <c r="C68" s="525" t="s">
        <v>104</v>
      </c>
      <c r="D68" s="525" t="s">
        <v>105</v>
      </c>
      <c r="E68" s="525" t="s">
        <v>106</v>
      </c>
      <c r="F68" s="344" t="s">
        <v>205</v>
      </c>
    </row>
    <row r="69" spans="1:9" ht="15" hidden="1" customHeight="1">
      <c r="A69" s="526" t="s">
        <v>299</v>
      </c>
      <c r="B69" s="526" t="s">
        <v>300</v>
      </c>
      <c r="C69" s="527">
        <v>45333</v>
      </c>
      <c r="D69" s="526" t="s">
        <v>324</v>
      </c>
      <c r="E69" s="526" t="s">
        <v>302</v>
      </c>
      <c r="F69" s="393">
        <v>93</v>
      </c>
      <c r="G69" s="367"/>
      <c r="H69" s="367"/>
    </row>
    <row r="70" spans="1:9" ht="15" hidden="1" customHeight="1">
      <c r="A70" s="526" t="s">
        <v>307</v>
      </c>
      <c r="B70" s="526" t="s">
        <v>308</v>
      </c>
      <c r="C70" s="527">
        <v>45241</v>
      </c>
      <c r="D70" s="526" t="s">
        <v>325</v>
      </c>
      <c r="E70" s="526" t="s">
        <v>310</v>
      </c>
      <c r="F70" s="386"/>
      <c r="G70" s="355"/>
    </row>
    <row r="71" spans="1:9" ht="15" hidden="1" customHeight="1">
      <c r="A71" s="526" t="s">
        <v>326</v>
      </c>
      <c r="B71" s="526" t="s">
        <v>327</v>
      </c>
      <c r="C71" s="527">
        <v>45241</v>
      </c>
      <c r="D71" s="526" t="s">
        <v>328</v>
      </c>
      <c r="E71" s="526" t="s">
        <v>329</v>
      </c>
      <c r="F71" s="380"/>
    </row>
    <row r="72" spans="1:9" ht="15" hidden="1" customHeight="1">
      <c r="A72" s="526" t="s">
        <v>303</v>
      </c>
      <c r="B72" s="526" t="s">
        <v>304</v>
      </c>
      <c r="C72" s="527">
        <v>45241</v>
      </c>
      <c r="D72" s="526" t="s">
        <v>305</v>
      </c>
      <c r="E72" s="526" t="s">
        <v>306</v>
      </c>
      <c r="F72" s="380"/>
      <c r="G72" s="372"/>
    </row>
    <row r="73" spans="1:9" ht="15" hidden="1" customHeight="1">
      <c r="A73" s="526" t="s">
        <v>311</v>
      </c>
      <c r="B73" s="526" t="s">
        <v>312</v>
      </c>
      <c r="C73" s="527">
        <v>45241</v>
      </c>
      <c r="D73" s="526" t="s">
        <v>313</v>
      </c>
      <c r="E73" s="526" t="s">
        <v>314</v>
      </c>
      <c r="F73" s="380"/>
    </row>
    <row r="74" spans="1:9" ht="15" hidden="1" customHeight="1">
      <c r="A74" s="526" t="s">
        <v>315</v>
      </c>
      <c r="B74" s="526" t="s">
        <v>316</v>
      </c>
      <c r="C74" s="527">
        <v>45241</v>
      </c>
      <c r="D74" s="526" t="s">
        <v>317</v>
      </c>
      <c r="E74" s="526" t="s">
        <v>318</v>
      </c>
      <c r="F74" s="380"/>
    </row>
    <row r="75" spans="1:9" ht="15" hidden="1" customHeight="1">
      <c r="A75" s="526" t="s">
        <v>319</v>
      </c>
      <c r="B75" s="526" t="s">
        <v>320</v>
      </c>
      <c r="C75" s="527">
        <v>45241</v>
      </c>
      <c r="D75" s="526" t="s">
        <v>321</v>
      </c>
      <c r="E75" s="526" t="s">
        <v>322</v>
      </c>
      <c r="F75" s="380"/>
    </row>
    <row r="76" spans="1:9" ht="15" hidden="1" customHeight="1">
      <c r="A76" s="528" t="s">
        <v>107</v>
      </c>
      <c r="B76" s="529">
        <v>44503</v>
      </c>
      <c r="C76" s="530"/>
      <c r="D76" s="884" t="s">
        <v>245</v>
      </c>
      <c r="E76" s="884"/>
      <c r="F76" s="383">
        <f>MEDIAN(F69:F75)</f>
        <v>93</v>
      </c>
    </row>
    <row r="77" spans="1:9" ht="15" hidden="1" customHeight="1">
      <c r="A77" s="9"/>
      <c r="B77" s="10"/>
      <c r="C77" s="10"/>
      <c r="D77" s="10"/>
      <c r="E77" s="10"/>
      <c r="F77" s="142"/>
    </row>
    <row r="78" spans="1:9" ht="15" hidden="1" customHeight="1">
      <c r="A78" s="522" t="s">
        <v>101</v>
      </c>
      <c r="B78" s="885" t="s">
        <v>330</v>
      </c>
      <c r="C78" s="885"/>
      <c r="D78" s="523"/>
      <c r="E78" s="523"/>
      <c r="F78" s="524" t="s">
        <v>298</v>
      </c>
    </row>
    <row r="79" spans="1:9" ht="15" hidden="1" customHeight="1">
      <c r="A79" s="525" t="s">
        <v>102</v>
      </c>
      <c r="B79" s="525" t="s">
        <v>103</v>
      </c>
      <c r="C79" s="525" t="s">
        <v>104</v>
      </c>
      <c r="D79" s="525" t="s">
        <v>105</v>
      </c>
      <c r="E79" s="525" t="s">
        <v>106</v>
      </c>
      <c r="F79" s="344" t="s">
        <v>205</v>
      </c>
    </row>
    <row r="80" spans="1:9" ht="15" hidden="1" customHeight="1">
      <c r="A80" s="526" t="s">
        <v>299</v>
      </c>
      <c r="B80" s="526" t="s">
        <v>300</v>
      </c>
      <c r="C80" s="527">
        <v>45241</v>
      </c>
      <c r="D80" s="526" t="s">
        <v>324</v>
      </c>
      <c r="E80" s="526" t="s">
        <v>302</v>
      </c>
      <c r="F80" s="380"/>
      <c r="G80" s="367"/>
      <c r="H80" s="367"/>
    </row>
    <row r="81" spans="1:8" ht="15" hidden="1" customHeight="1">
      <c r="A81" s="526" t="s">
        <v>307</v>
      </c>
      <c r="B81" s="526" t="s">
        <v>308</v>
      </c>
      <c r="C81" s="527">
        <v>45241</v>
      </c>
      <c r="D81" s="526" t="s">
        <v>325</v>
      </c>
      <c r="E81" s="526" t="s">
        <v>310</v>
      </c>
      <c r="F81" s="380"/>
    </row>
    <row r="82" spans="1:8" ht="15" hidden="1" customHeight="1">
      <c r="A82" s="526" t="s">
        <v>326</v>
      </c>
      <c r="B82" s="526" t="s">
        <v>327</v>
      </c>
      <c r="C82" s="527">
        <v>45241</v>
      </c>
      <c r="D82" s="526" t="s">
        <v>328</v>
      </c>
      <c r="E82" s="526" t="s">
        <v>329</v>
      </c>
      <c r="F82" s="380"/>
    </row>
    <row r="83" spans="1:8" ht="15" hidden="1" customHeight="1">
      <c r="A83" s="526" t="s">
        <v>303</v>
      </c>
      <c r="B83" s="526" t="s">
        <v>304</v>
      </c>
      <c r="C83" s="527">
        <v>45241</v>
      </c>
      <c r="D83" s="526" t="s">
        <v>305</v>
      </c>
      <c r="E83" s="526" t="s">
        <v>306</v>
      </c>
      <c r="F83" s="380"/>
      <c r="G83" s="372"/>
    </row>
    <row r="84" spans="1:8" ht="15" hidden="1" customHeight="1">
      <c r="A84" s="526" t="s">
        <v>311</v>
      </c>
      <c r="B84" s="526" t="s">
        <v>312</v>
      </c>
      <c r="C84" s="527">
        <v>45241</v>
      </c>
      <c r="D84" s="526" t="s">
        <v>313</v>
      </c>
      <c r="E84" s="526" t="s">
        <v>314</v>
      </c>
      <c r="F84" s="380"/>
    </row>
    <row r="85" spans="1:8" ht="15" hidden="1" customHeight="1">
      <c r="A85" s="526" t="s">
        <v>315</v>
      </c>
      <c r="B85" s="526" t="s">
        <v>316</v>
      </c>
      <c r="C85" s="527">
        <v>45241</v>
      </c>
      <c r="D85" s="526" t="s">
        <v>317</v>
      </c>
      <c r="E85" s="526" t="s">
        <v>318</v>
      </c>
      <c r="F85" s="380"/>
    </row>
    <row r="86" spans="1:8" ht="15" hidden="1" customHeight="1">
      <c r="A86" s="526" t="s">
        <v>319</v>
      </c>
      <c r="B86" s="526" t="s">
        <v>320</v>
      </c>
      <c r="C86" s="527">
        <v>45241</v>
      </c>
      <c r="D86" s="526" t="s">
        <v>321</v>
      </c>
      <c r="E86" s="526" t="s">
        <v>322</v>
      </c>
      <c r="F86" s="380"/>
    </row>
    <row r="87" spans="1:8" ht="15" hidden="1" customHeight="1">
      <c r="A87" s="528" t="s">
        <v>107</v>
      </c>
      <c r="B87" s="529">
        <v>44503</v>
      </c>
      <c r="C87" s="530"/>
      <c r="D87" s="884" t="s">
        <v>245</v>
      </c>
      <c r="E87" s="884"/>
      <c r="F87" s="383" t="e">
        <f>MEDIAN(F80:F86)</f>
        <v>#NUM!</v>
      </c>
    </row>
    <row r="88" spans="1:8" ht="15" hidden="1" customHeight="1">
      <c r="A88" s="9"/>
      <c r="B88" s="10"/>
      <c r="C88" s="10"/>
      <c r="D88" s="10"/>
      <c r="E88" s="10"/>
      <c r="F88" s="142"/>
    </row>
    <row r="89" spans="1:8" ht="15" hidden="1" customHeight="1">
      <c r="A89" s="522" t="s">
        <v>101</v>
      </c>
      <c r="B89" s="885" t="s">
        <v>331</v>
      </c>
      <c r="C89" s="885"/>
      <c r="D89" s="523"/>
      <c r="E89" s="523"/>
      <c r="F89" s="524" t="s">
        <v>298</v>
      </c>
    </row>
    <row r="90" spans="1:8" ht="15" hidden="1" customHeight="1">
      <c r="A90" s="525" t="s">
        <v>102</v>
      </c>
      <c r="B90" s="525" t="s">
        <v>103</v>
      </c>
      <c r="C90" s="525" t="s">
        <v>104</v>
      </c>
      <c r="D90" s="525" t="s">
        <v>105</v>
      </c>
      <c r="E90" s="525" t="s">
        <v>106</v>
      </c>
      <c r="F90" s="344" t="s">
        <v>205</v>
      </c>
    </row>
    <row r="91" spans="1:8" ht="15" hidden="1" customHeight="1">
      <c r="A91" s="526" t="s">
        <v>299</v>
      </c>
      <c r="B91" s="526" t="s">
        <v>300</v>
      </c>
      <c r="C91" s="527">
        <v>45241</v>
      </c>
      <c r="D91" s="526" t="s">
        <v>324</v>
      </c>
      <c r="E91" s="526" t="s">
        <v>302</v>
      </c>
      <c r="F91" s="380"/>
      <c r="G91" s="367"/>
      <c r="H91" s="367"/>
    </row>
    <row r="92" spans="1:8" ht="15" hidden="1" customHeight="1">
      <c r="A92" s="526" t="s">
        <v>307</v>
      </c>
      <c r="B92" s="526" t="s">
        <v>308</v>
      </c>
      <c r="C92" s="527">
        <v>45241</v>
      </c>
      <c r="D92" s="526" t="s">
        <v>325</v>
      </c>
      <c r="E92" s="526" t="s">
        <v>310</v>
      </c>
      <c r="F92" s="380"/>
    </row>
    <row r="93" spans="1:8" ht="15" hidden="1" customHeight="1">
      <c r="A93" s="526" t="s">
        <v>326</v>
      </c>
      <c r="B93" s="526" t="s">
        <v>327</v>
      </c>
      <c r="C93" s="527">
        <v>45241</v>
      </c>
      <c r="D93" s="526" t="s">
        <v>328</v>
      </c>
      <c r="E93" s="526" t="s">
        <v>329</v>
      </c>
      <c r="F93" s="380"/>
    </row>
    <row r="94" spans="1:8" ht="15" hidden="1" customHeight="1">
      <c r="A94" s="526" t="s">
        <v>303</v>
      </c>
      <c r="B94" s="526" t="s">
        <v>304</v>
      </c>
      <c r="C94" s="527">
        <v>45241</v>
      </c>
      <c r="D94" s="526" t="s">
        <v>305</v>
      </c>
      <c r="E94" s="526" t="s">
        <v>306</v>
      </c>
      <c r="F94" s="380"/>
      <c r="G94" s="372"/>
    </row>
    <row r="95" spans="1:8" ht="15" hidden="1" customHeight="1">
      <c r="A95" s="526" t="s">
        <v>311</v>
      </c>
      <c r="B95" s="526" t="s">
        <v>312</v>
      </c>
      <c r="C95" s="527">
        <v>45241</v>
      </c>
      <c r="D95" s="526" t="s">
        <v>313</v>
      </c>
      <c r="E95" s="526" t="s">
        <v>314</v>
      </c>
      <c r="F95" s="380"/>
    </row>
    <row r="96" spans="1:8" ht="15" hidden="1" customHeight="1">
      <c r="A96" s="526" t="s">
        <v>315</v>
      </c>
      <c r="B96" s="526" t="s">
        <v>316</v>
      </c>
      <c r="C96" s="527">
        <v>45241</v>
      </c>
      <c r="D96" s="526" t="s">
        <v>317</v>
      </c>
      <c r="E96" s="526" t="s">
        <v>318</v>
      </c>
      <c r="F96" s="380"/>
    </row>
    <row r="97" spans="1:8" ht="15" hidden="1" customHeight="1">
      <c r="A97" s="526" t="s">
        <v>319</v>
      </c>
      <c r="B97" s="526" t="s">
        <v>320</v>
      </c>
      <c r="C97" s="527">
        <v>45241</v>
      </c>
      <c r="D97" s="526" t="s">
        <v>321</v>
      </c>
      <c r="E97" s="526" t="s">
        <v>322</v>
      </c>
      <c r="F97" s="380"/>
    </row>
    <row r="98" spans="1:8" ht="15" hidden="1" customHeight="1">
      <c r="A98" s="528" t="s">
        <v>107</v>
      </c>
      <c r="B98" s="529">
        <v>44503</v>
      </c>
      <c r="C98" s="530"/>
      <c r="D98" s="884" t="s">
        <v>245</v>
      </c>
      <c r="E98" s="884"/>
      <c r="F98" s="383" t="e">
        <f>MEDIAN(F91:F97)</f>
        <v>#NUM!</v>
      </c>
    </row>
    <row r="99" spans="1:8">
      <c r="A99" s="9"/>
      <c r="B99" s="10"/>
      <c r="C99" s="10"/>
      <c r="D99" s="10"/>
      <c r="E99" s="10"/>
      <c r="F99" s="142"/>
    </row>
    <row r="100" spans="1:8">
      <c r="A100" s="522" t="s">
        <v>101</v>
      </c>
      <c r="B100" s="885" t="s">
        <v>332</v>
      </c>
      <c r="C100" s="885"/>
      <c r="D100" s="523"/>
      <c r="E100" s="523"/>
      <c r="F100" s="524" t="s">
        <v>298</v>
      </c>
    </row>
    <row r="101" spans="1:8" ht="30">
      <c r="A101" s="525" t="s">
        <v>102</v>
      </c>
      <c r="B101" s="525" t="s">
        <v>103</v>
      </c>
      <c r="C101" s="525" t="s">
        <v>104</v>
      </c>
      <c r="D101" s="525" t="s">
        <v>105</v>
      </c>
      <c r="E101" s="525" t="s">
        <v>106</v>
      </c>
      <c r="F101" s="344" t="s">
        <v>205</v>
      </c>
    </row>
    <row r="102" spans="1:8">
      <c r="A102" s="526" t="s">
        <v>299</v>
      </c>
      <c r="B102" s="526" t="s">
        <v>300</v>
      </c>
      <c r="C102" s="527">
        <v>46068</v>
      </c>
      <c r="D102" s="526" t="s">
        <v>324</v>
      </c>
      <c r="E102" s="526" t="s">
        <v>302</v>
      </c>
      <c r="F102" s="393">
        <v>86</v>
      </c>
      <c r="G102" s="367"/>
      <c r="H102" s="367"/>
    </row>
    <row r="103" spans="1:8" ht="15" hidden="1" customHeight="1">
      <c r="A103" s="526" t="s">
        <v>307</v>
      </c>
      <c r="B103" s="526" t="s">
        <v>308</v>
      </c>
      <c r="C103" s="527">
        <v>46068</v>
      </c>
      <c r="D103" s="526" t="s">
        <v>325</v>
      </c>
      <c r="E103" s="526" t="s">
        <v>310</v>
      </c>
      <c r="F103" s="380"/>
    </row>
    <row r="104" spans="1:8" ht="15" hidden="1" customHeight="1">
      <c r="A104" s="526" t="s">
        <v>326</v>
      </c>
      <c r="B104" s="526" t="s">
        <v>327</v>
      </c>
      <c r="C104" s="527">
        <v>46068</v>
      </c>
      <c r="D104" s="526" t="s">
        <v>328</v>
      </c>
      <c r="E104" s="526" t="s">
        <v>329</v>
      </c>
      <c r="F104" s="393"/>
    </row>
    <row r="105" spans="1:8" ht="15" hidden="1" customHeight="1">
      <c r="A105" s="526" t="s">
        <v>303</v>
      </c>
      <c r="B105" s="526" t="s">
        <v>304</v>
      </c>
      <c r="C105" s="527">
        <v>46068</v>
      </c>
      <c r="D105" s="526" t="s">
        <v>305</v>
      </c>
      <c r="E105" s="526" t="s">
        <v>306</v>
      </c>
      <c r="F105" s="380"/>
      <c r="G105" s="372"/>
    </row>
    <row r="106" spans="1:8">
      <c r="A106" s="526" t="s">
        <v>311</v>
      </c>
      <c r="B106" s="526" t="s">
        <v>312</v>
      </c>
      <c r="C106" s="527">
        <v>46068</v>
      </c>
      <c r="D106" s="526" t="s">
        <v>313</v>
      </c>
      <c r="E106" s="526" t="s">
        <v>314</v>
      </c>
      <c r="F106" s="393">
        <v>100</v>
      </c>
    </row>
    <row r="107" spans="1:8" ht="15" customHeight="1">
      <c r="A107" s="526" t="s">
        <v>315</v>
      </c>
      <c r="B107" s="526" t="s">
        <v>316</v>
      </c>
      <c r="C107" s="527">
        <v>46068</v>
      </c>
      <c r="D107" s="526" t="s">
        <v>317</v>
      </c>
      <c r="E107" s="526" t="s">
        <v>318</v>
      </c>
      <c r="F107" s="393">
        <v>80.55</v>
      </c>
    </row>
    <row r="108" spans="1:8" ht="15" hidden="1" customHeight="1">
      <c r="A108" s="526" t="s">
        <v>319</v>
      </c>
      <c r="B108" s="526" t="s">
        <v>320</v>
      </c>
      <c r="C108" s="527">
        <v>45366</v>
      </c>
      <c r="D108" s="526" t="s">
        <v>321</v>
      </c>
      <c r="E108" s="526" t="s">
        <v>322</v>
      </c>
      <c r="F108" s="393"/>
    </row>
    <row r="109" spans="1:8">
      <c r="A109" s="528" t="s">
        <v>107</v>
      </c>
      <c r="B109" s="529">
        <v>46068</v>
      </c>
      <c r="C109" s="530"/>
      <c r="D109" s="884" t="s">
        <v>245</v>
      </c>
      <c r="E109" s="884"/>
      <c r="F109" s="531">
        <f>TRUNC(MEDIAN(F102:F108),2)</f>
        <v>86</v>
      </c>
    </row>
    <row r="110" spans="1:8" ht="15" hidden="1" customHeight="1">
      <c r="A110" s="9"/>
      <c r="B110" s="10"/>
      <c r="C110" s="10"/>
      <c r="D110" s="10"/>
      <c r="E110" s="10"/>
      <c r="F110" s="142"/>
    </row>
    <row r="111" spans="1:8" ht="15" hidden="1" customHeight="1">
      <c r="A111" s="522" t="s">
        <v>101</v>
      </c>
      <c r="B111" s="885" t="s">
        <v>166</v>
      </c>
      <c r="C111" s="885"/>
      <c r="D111" s="523"/>
      <c r="E111" s="523"/>
      <c r="F111" s="524" t="s">
        <v>298</v>
      </c>
    </row>
    <row r="112" spans="1:8" ht="15" hidden="1" customHeight="1">
      <c r="A112" s="525" t="s">
        <v>102</v>
      </c>
      <c r="B112" s="525" t="s">
        <v>103</v>
      </c>
      <c r="C112" s="525" t="s">
        <v>104</v>
      </c>
      <c r="D112" s="525" t="s">
        <v>105</v>
      </c>
      <c r="E112" s="525" t="s">
        <v>106</v>
      </c>
      <c r="F112" s="344" t="s">
        <v>205</v>
      </c>
    </row>
    <row r="113" spans="1:8" ht="15" hidden="1" customHeight="1">
      <c r="A113" s="526" t="s">
        <v>299</v>
      </c>
      <c r="B113" s="526" t="s">
        <v>300</v>
      </c>
      <c r="C113" s="527">
        <v>45241</v>
      </c>
      <c r="D113" s="526" t="s">
        <v>324</v>
      </c>
      <c r="E113" s="526" t="s">
        <v>302</v>
      </c>
      <c r="F113" s="380"/>
      <c r="G113" s="367"/>
      <c r="H113" s="367"/>
    </row>
    <row r="114" spans="1:8" ht="15" hidden="1" customHeight="1">
      <c r="A114" s="526" t="s">
        <v>307</v>
      </c>
      <c r="B114" s="526" t="s">
        <v>308</v>
      </c>
      <c r="C114" s="527">
        <v>45241</v>
      </c>
      <c r="D114" s="526" t="s">
        <v>325</v>
      </c>
      <c r="E114" s="526" t="s">
        <v>310</v>
      </c>
      <c r="F114" s="380"/>
    </row>
    <row r="115" spans="1:8" ht="15" hidden="1" customHeight="1">
      <c r="A115" s="526" t="s">
        <v>326</v>
      </c>
      <c r="B115" s="526" t="s">
        <v>327</v>
      </c>
      <c r="C115" s="527">
        <v>45241</v>
      </c>
      <c r="D115" s="526" t="s">
        <v>328</v>
      </c>
      <c r="E115" s="526" t="s">
        <v>329</v>
      </c>
      <c r="F115" s="380"/>
    </row>
    <row r="116" spans="1:8" ht="15" hidden="1" customHeight="1">
      <c r="A116" s="526" t="s">
        <v>303</v>
      </c>
      <c r="B116" s="526" t="s">
        <v>304</v>
      </c>
      <c r="C116" s="527">
        <v>45241</v>
      </c>
      <c r="D116" s="526" t="s">
        <v>305</v>
      </c>
      <c r="E116" s="526" t="s">
        <v>306</v>
      </c>
      <c r="F116" s="380"/>
      <c r="G116" s="372"/>
    </row>
    <row r="117" spans="1:8" ht="15" hidden="1" customHeight="1">
      <c r="A117" s="526" t="s">
        <v>311</v>
      </c>
      <c r="B117" s="526" t="s">
        <v>312</v>
      </c>
      <c r="C117" s="527">
        <v>45241</v>
      </c>
      <c r="D117" s="526" t="s">
        <v>313</v>
      </c>
      <c r="E117" s="526" t="s">
        <v>314</v>
      </c>
      <c r="F117" s="380"/>
    </row>
    <row r="118" spans="1:8" ht="15" hidden="1" customHeight="1">
      <c r="A118" s="526" t="s">
        <v>315</v>
      </c>
      <c r="B118" s="526" t="s">
        <v>316</v>
      </c>
      <c r="C118" s="527">
        <v>45241</v>
      </c>
      <c r="D118" s="526" t="s">
        <v>317</v>
      </c>
      <c r="E118" s="526" t="s">
        <v>318</v>
      </c>
      <c r="F118" s="380"/>
    </row>
    <row r="119" spans="1:8" ht="15" hidden="1" customHeight="1">
      <c r="A119" s="526" t="s">
        <v>319</v>
      </c>
      <c r="B119" s="526" t="s">
        <v>320</v>
      </c>
      <c r="C119" s="527">
        <v>45241</v>
      </c>
      <c r="D119" s="526" t="s">
        <v>321</v>
      </c>
      <c r="E119" s="526" t="s">
        <v>322</v>
      </c>
      <c r="F119" s="380"/>
    </row>
    <row r="120" spans="1:8" ht="15" hidden="1" customHeight="1">
      <c r="A120" s="528" t="s">
        <v>107</v>
      </c>
      <c r="B120" s="529">
        <v>44503</v>
      </c>
      <c r="C120" s="530"/>
      <c r="D120" s="884" t="s">
        <v>245</v>
      </c>
      <c r="E120" s="884"/>
      <c r="F120" s="383" t="e">
        <f>MEDIAN(F113:F119)</f>
        <v>#NUM!</v>
      </c>
    </row>
    <row r="121" spans="1:8">
      <c r="A121" s="9"/>
      <c r="B121" s="10"/>
      <c r="C121" s="10"/>
      <c r="D121" s="10"/>
      <c r="E121" s="10"/>
      <c r="F121" s="142"/>
    </row>
    <row r="122" spans="1:8">
      <c r="A122" s="522" t="s">
        <v>101</v>
      </c>
      <c r="B122" s="885" t="s">
        <v>383</v>
      </c>
      <c r="C122" s="885"/>
      <c r="D122" s="523"/>
      <c r="E122" s="523"/>
      <c r="F122" s="524" t="s">
        <v>298</v>
      </c>
    </row>
    <row r="123" spans="1:8" ht="30">
      <c r="A123" s="525" t="s">
        <v>102</v>
      </c>
      <c r="B123" s="525" t="s">
        <v>103</v>
      </c>
      <c r="C123" s="525" t="s">
        <v>104</v>
      </c>
      <c r="D123" s="525" t="s">
        <v>105</v>
      </c>
      <c r="E123" s="525" t="s">
        <v>106</v>
      </c>
      <c r="F123" s="344" t="s">
        <v>205</v>
      </c>
    </row>
    <row r="124" spans="1:8">
      <c r="A124" s="526" t="s">
        <v>299</v>
      </c>
      <c r="B124" s="526" t="s">
        <v>300</v>
      </c>
      <c r="C124" s="527">
        <v>46068</v>
      </c>
      <c r="D124" s="526" t="s">
        <v>324</v>
      </c>
      <c r="E124" s="526" t="s">
        <v>302</v>
      </c>
      <c r="F124" s="393">
        <v>54</v>
      </c>
      <c r="G124" s="367"/>
      <c r="H124" s="367"/>
    </row>
    <row r="125" spans="1:8">
      <c r="A125" s="526" t="s">
        <v>311</v>
      </c>
      <c r="B125" s="526" t="s">
        <v>312</v>
      </c>
      <c r="C125" s="527">
        <v>46068</v>
      </c>
      <c r="D125" s="526" t="s">
        <v>313</v>
      </c>
      <c r="E125" s="526" t="s">
        <v>314</v>
      </c>
      <c r="F125" s="393">
        <v>90</v>
      </c>
    </row>
    <row r="126" spans="1:8" ht="15" hidden="1" customHeight="1">
      <c r="A126" s="526" t="s">
        <v>307</v>
      </c>
      <c r="B126" s="526" t="s">
        <v>308</v>
      </c>
      <c r="C126" s="527">
        <v>46068</v>
      </c>
      <c r="D126" s="526" t="s">
        <v>325</v>
      </c>
      <c r="E126" s="526" t="s">
        <v>310</v>
      </c>
      <c r="F126" s="380"/>
    </row>
    <row r="127" spans="1:8" ht="15" hidden="1" customHeight="1">
      <c r="A127" s="526" t="s">
        <v>303</v>
      </c>
      <c r="B127" s="526" t="s">
        <v>304</v>
      </c>
      <c r="C127" s="527">
        <v>46068</v>
      </c>
      <c r="D127" s="526" t="s">
        <v>305</v>
      </c>
      <c r="E127" s="526" t="s">
        <v>306</v>
      </c>
      <c r="F127" s="380"/>
      <c r="G127" s="372"/>
    </row>
    <row r="128" spans="1:8" ht="15" hidden="1" customHeight="1">
      <c r="A128" s="526" t="s">
        <v>315</v>
      </c>
      <c r="B128" s="526" t="s">
        <v>316</v>
      </c>
      <c r="C128" s="527">
        <v>46068</v>
      </c>
      <c r="D128" s="526" t="s">
        <v>317</v>
      </c>
      <c r="E128" s="526" t="s">
        <v>318</v>
      </c>
      <c r="F128" s="393"/>
    </row>
    <row r="129" spans="1:8">
      <c r="A129" s="526" t="s">
        <v>319</v>
      </c>
      <c r="B129" s="526" t="s">
        <v>320</v>
      </c>
      <c r="C129" s="527">
        <v>46068</v>
      </c>
      <c r="D129" s="526" t="s">
        <v>321</v>
      </c>
      <c r="E129" s="526" t="s">
        <v>322</v>
      </c>
      <c r="F129" s="393">
        <v>57</v>
      </c>
    </row>
    <row r="130" spans="1:8">
      <c r="A130" s="528" t="s">
        <v>107</v>
      </c>
      <c r="B130" s="529">
        <v>46068</v>
      </c>
      <c r="C130" s="530"/>
      <c r="D130" s="884" t="s">
        <v>245</v>
      </c>
      <c r="E130" s="884"/>
      <c r="F130" s="531">
        <f>TRUNC(MEDIAN(F124:F129),2)</f>
        <v>57</v>
      </c>
    </row>
    <row r="131" spans="1:8" hidden="1">
      <c r="A131" s="373"/>
      <c r="B131" s="374"/>
      <c r="C131" s="374"/>
      <c r="D131" s="374"/>
      <c r="E131" s="374"/>
      <c r="F131" s="399"/>
    </row>
    <row r="132" spans="1:8" ht="15" hidden="1" customHeight="1">
      <c r="A132" s="382" t="s">
        <v>101</v>
      </c>
      <c r="B132" s="882" t="s">
        <v>333</v>
      </c>
      <c r="C132" s="882"/>
      <c r="D132" s="341"/>
      <c r="E132" s="341"/>
      <c r="F132" s="342" t="s">
        <v>334</v>
      </c>
    </row>
    <row r="133" spans="1:8" ht="15" hidden="1" customHeight="1">
      <c r="A133" s="379" t="s">
        <v>102</v>
      </c>
      <c r="B133" s="379" t="s">
        <v>103</v>
      </c>
      <c r="C133" s="379" t="s">
        <v>104</v>
      </c>
      <c r="D133" s="379" t="s">
        <v>105</v>
      </c>
      <c r="E133" s="387" t="s">
        <v>106</v>
      </c>
      <c r="F133" s="344" t="s">
        <v>205</v>
      </c>
    </row>
    <row r="134" spans="1:8" ht="15" hidden="1" customHeight="1">
      <c r="A134" s="160" t="s">
        <v>335</v>
      </c>
      <c r="B134" s="160" t="s">
        <v>336</v>
      </c>
      <c r="C134" s="159">
        <v>44503</v>
      </c>
      <c r="D134" s="160" t="s">
        <v>337</v>
      </c>
      <c r="E134" s="160" t="s">
        <v>338</v>
      </c>
      <c r="F134" s="380">
        <v>23</v>
      </c>
      <c r="G134" s="367"/>
      <c r="H134" s="367"/>
    </row>
    <row r="135" spans="1:8" ht="15" hidden="1" customHeight="1">
      <c r="A135" s="160" t="s">
        <v>339</v>
      </c>
      <c r="B135" s="160" t="s">
        <v>340</v>
      </c>
      <c r="C135" s="159">
        <v>44503</v>
      </c>
      <c r="D135" s="160" t="s">
        <v>341</v>
      </c>
      <c r="E135" s="160" t="s">
        <v>342</v>
      </c>
      <c r="F135" s="380">
        <v>36</v>
      </c>
    </row>
    <row r="136" spans="1:8" ht="15" hidden="1" customHeight="1">
      <c r="A136" s="160" t="s">
        <v>343</v>
      </c>
      <c r="B136" s="160" t="s">
        <v>344</v>
      </c>
      <c r="C136" s="159">
        <v>44503</v>
      </c>
      <c r="D136" s="160" t="s">
        <v>341</v>
      </c>
      <c r="E136" s="160" t="s">
        <v>345</v>
      </c>
      <c r="F136" s="380">
        <v>53.4</v>
      </c>
      <c r="G136" s="372"/>
    </row>
    <row r="137" spans="1:8" ht="15" hidden="1" customHeight="1">
      <c r="A137" s="356" t="s">
        <v>107</v>
      </c>
      <c r="B137" s="204">
        <v>44503</v>
      </c>
      <c r="C137" s="375"/>
      <c r="D137" s="883" t="s">
        <v>245</v>
      </c>
      <c r="E137" s="883"/>
      <c r="F137" s="383">
        <f>MEDIAN(F134:F136)</f>
        <v>36</v>
      </c>
    </row>
    <row r="138" spans="1:8" ht="15" hidden="1" customHeight="1">
      <c r="A138" s="373"/>
      <c r="B138" s="374"/>
      <c r="C138" s="374"/>
      <c r="D138" s="374"/>
      <c r="E138" s="374"/>
      <c r="F138" s="399"/>
    </row>
    <row r="139" spans="1:8" ht="15" hidden="1" customHeight="1">
      <c r="A139" s="382" t="s">
        <v>101</v>
      </c>
      <c r="B139" s="882" t="s">
        <v>346</v>
      </c>
      <c r="C139" s="882"/>
      <c r="D139" s="341"/>
      <c r="E139" s="341"/>
      <c r="F139" s="342" t="s">
        <v>334</v>
      </c>
    </row>
    <row r="140" spans="1:8" ht="15" hidden="1" customHeight="1">
      <c r="A140" s="379" t="s">
        <v>102</v>
      </c>
      <c r="B140" s="379" t="s">
        <v>103</v>
      </c>
      <c r="C140" s="379" t="s">
        <v>104</v>
      </c>
      <c r="D140" s="379" t="s">
        <v>105</v>
      </c>
      <c r="E140" s="379" t="s">
        <v>106</v>
      </c>
      <c r="F140" s="344" t="s">
        <v>205</v>
      </c>
    </row>
    <row r="141" spans="1:8" ht="15" hidden="1" customHeight="1">
      <c r="A141" s="160" t="s">
        <v>335</v>
      </c>
      <c r="B141" s="160" t="s">
        <v>336</v>
      </c>
      <c r="C141" s="159">
        <v>44503</v>
      </c>
      <c r="D141" s="160" t="s">
        <v>337</v>
      </c>
      <c r="E141" s="160" t="s">
        <v>338</v>
      </c>
      <c r="F141" s="380">
        <v>23</v>
      </c>
      <c r="G141" s="367"/>
      <c r="H141" s="367"/>
    </row>
    <row r="142" spans="1:8" ht="15" hidden="1" customHeight="1">
      <c r="A142" s="160" t="s">
        <v>339</v>
      </c>
      <c r="B142" s="160" t="s">
        <v>340</v>
      </c>
      <c r="C142" s="159">
        <v>44503</v>
      </c>
      <c r="D142" s="160" t="s">
        <v>341</v>
      </c>
      <c r="E142" s="160" t="s">
        <v>342</v>
      </c>
      <c r="F142" s="380">
        <v>30</v>
      </c>
    </row>
    <row r="143" spans="1:8" ht="15" hidden="1" customHeight="1">
      <c r="A143" s="160" t="s">
        <v>343</v>
      </c>
      <c r="B143" s="160" t="s">
        <v>344</v>
      </c>
      <c r="C143" s="159">
        <v>44503</v>
      </c>
      <c r="D143" s="160" t="s">
        <v>341</v>
      </c>
      <c r="E143" s="160" t="s">
        <v>345</v>
      </c>
      <c r="F143" s="380">
        <v>48.6</v>
      </c>
      <c r="G143" s="372"/>
    </row>
    <row r="144" spans="1:8" ht="15" hidden="1" customHeight="1">
      <c r="A144" s="376" t="s">
        <v>107</v>
      </c>
      <c r="B144" s="365">
        <v>44503</v>
      </c>
      <c r="C144" s="377"/>
      <c r="D144" s="883" t="s">
        <v>245</v>
      </c>
      <c r="E144" s="883"/>
      <c r="F144" s="383">
        <f>MEDIAN(F141:F143)</f>
        <v>30</v>
      </c>
    </row>
    <row r="145" spans="1:8" ht="15" hidden="1" customHeight="1">
      <c r="A145" s="373"/>
      <c r="B145" s="374"/>
      <c r="C145" s="374"/>
      <c r="D145" s="374"/>
      <c r="E145" s="374"/>
      <c r="F145" s="399"/>
    </row>
    <row r="146" spans="1:8" ht="15" hidden="1" customHeight="1">
      <c r="A146" s="382" t="s">
        <v>101</v>
      </c>
      <c r="B146" s="882" t="s">
        <v>347</v>
      </c>
      <c r="C146" s="882"/>
      <c r="D146" s="341"/>
      <c r="E146" s="341"/>
      <c r="F146" s="342" t="s">
        <v>334</v>
      </c>
    </row>
    <row r="147" spans="1:8" ht="15" hidden="1" customHeight="1">
      <c r="A147" s="379" t="s">
        <v>102</v>
      </c>
      <c r="B147" s="379" t="s">
        <v>103</v>
      </c>
      <c r="C147" s="379" t="s">
        <v>104</v>
      </c>
      <c r="D147" s="379" t="s">
        <v>105</v>
      </c>
      <c r="E147" s="387" t="s">
        <v>106</v>
      </c>
      <c r="F147" s="344" t="s">
        <v>205</v>
      </c>
    </row>
    <row r="148" spans="1:8" ht="15" hidden="1" customHeight="1">
      <c r="A148" s="160" t="s">
        <v>348</v>
      </c>
      <c r="B148" s="160" t="s">
        <v>349</v>
      </c>
      <c r="C148" s="159">
        <v>44503</v>
      </c>
      <c r="D148" s="160" t="s">
        <v>341</v>
      </c>
      <c r="E148" s="160" t="s">
        <v>350</v>
      </c>
      <c r="F148" s="380">
        <f>23/2.3</f>
        <v>10</v>
      </c>
      <c r="G148" s="367"/>
      <c r="H148" s="367"/>
    </row>
    <row r="149" spans="1:8" ht="15" hidden="1" customHeight="1">
      <c r="A149" s="160" t="s">
        <v>343</v>
      </c>
      <c r="B149" s="160" t="s">
        <v>344</v>
      </c>
      <c r="C149" s="159">
        <v>44503</v>
      </c>
      <c r="D149" s="160" t="s">
        <v>341</v>
      </c>
      <c r="E149" s="160" t="s">
        <v>345</v>
      </c>
      <c r="F149" s="380">
        <f>9.28/2.3</f>
        <v>4.034782608695652</v>
      </c>
    </row>
    <row r="150" spans="1:8" ht="15" hidden="1" customHeight="1">
      <c r="A150" s="160" t="s">
        <v>351</v>
      </c>
      <c r="B150" s="160" t="s">
        <v>352</v>
      </c>
      <c r="C150" s="159">
        <v>44503</v>
      </c>
      <c r="D150" s="160" t="s">
        <v>341</v>
      </c>
      <c r="E150" s="160" t="s">
        <v>345</v>
      </c>
      <c r="F150" s="380">
        <f>4/2.3</f>
        <v>1.7391304347826089</v>
      </c>
      <c r="G150" s="372"/>
    </row>
    <row r="151" spans="1:8" ht="15" hidden="1" customHeight="1">
      <c r="A151" s="356" t="s">
        <v>107</v>
      </c>
      <c r="B151" s="204">
        <v>44503</v>
      </c>
      <c r="C151" s="375"/>
      <c r="D151" s="883" t="s">
        <v>245</v>
      </c>
      <c r="E151" s="883"/>
      <c r="F151" s="383">
        <f>MEDIAN(F148:F150)</f>
        <v>4.034782608695652</v>
      </c>
    </row>
    <row r="152" spans="1:8" ht="15" hidden="1" customHeight="1">
      <c r="A152" s="373"/>
      <c r="B152" s="374"/>
      <c r="C152" s="374"/>
      <c r="D152" s="374"/>
      <c r="E152" s="374"/>
      <c r="F152" s="399"/>
    </row>
    <row r="153" spans="1:8" ht="15" hidden="1" customHeight="1">
      <c r="A153" s="382" t="s">
        <v>101</v>
      </c>
      <c r="B153" s="882" t="s">
        <v>353</v>
      </c>
      <c r="C153" s="882"/>
      <c r="D153" s="341"/>
      <c r="E153" s="341"/>
      <c r="F153" s="342" t="s">
        <v>270</v>
      </c>
    </row>
    <row r="154" spans="1:8" ht="15" hidden="1" customHeight="1">
      <c r="A154" s="379" t="s">
        <v>102</v>
      </c>
      <c r="B154" s="379" t="s">
        <v>103</v>
      </c>
      <c r="C154" s="379" t="s">
        <v>104</v>
      </c>
      <c r="D154" s="379" t="s">
        <v>105</v>
      </c>
      <c r="E154" s="379" t="s">
        <v>106</v>
      </c>
      <c r="F154" s="344" t="s">
        <v>205</v>
      </c>
    </row>
    <row r="155" spans="1:8" ht="15" hidden="1" customHeight="1">
      <c r="A155" s="160" t="s">
        <v>348</v>
      </c>
      <c r="B155" s="160" t="s">
        <v>349</v>
      </c>
      <c r="C155" s="159">
        <v>44503</v>
      </c>
      <c r="D155" s="160" t="s">
        <v>341</v>
      </c>
      <c r="E155" s="160" t="s">
        <v>350</v>
      </c>
      <c r="F155" s="380">
        <v>11.82</v>
      </c>
      <c r="G155" s="367"/>
      <c r="H155" s="367"/>
    </row>
    <row r="156" spans="1:8" ht="15" hidden="1" customHeight="1">
      <c r="A156" s="160" t="s">
        <v>343</v>
      </c>
      <c r="B156" s="160" t="s">
        <v>344</v>
      </c>
      <c r="C156" s="159">
        <v>44503</v>
      </c>
      <c r="D156" s="160" t="s">
        <v>341</v>
      </c>
      <c r="E156" s="160" t="s">
        <v>345</v>
      </c>
      <c r="F156" s="380">
        <v>8.91</v>
      </c>
    </row>
    <row r="157" spans="1:8" ht="15" hidden="1" customHeight="1">
      <c r="A157" s="160" t="s">
        <v>343</v>
      </c>
      <c r="B157" s="160" t="s">
        <v>344</v>
      </c>
      <c r="C157" s="159">
        <v>44503</v>
      </c>
      <c r="D157" s="160" t="s">
        <v>341</v>
      </c>
      <c r="E157" s="160" t="s">
        <v>345</v>
      </c>
      <c r="F157" s="380">
        <v>9.6999999999999993</v>
      </c>
      <c r="G157" s="372"/>
    </row>
    <row r="158" spans="1:8" ht="15" hidden="1" customHeight="1">
      <c r="A158" s="356" t="s">
        <v>107</v>
      </c>
      <c r="B158" s="204">
        <v>44503</v>
      </c>
      <c r="C158" s="357"/>
      <c r="D158" s="883" t="s">
        <v>245</v>
      </c>
      <c r="E158" s="883"/>
      <c r="F158" s="383">
        <f>MEDIAN(F155:F157)</f>
        <v>9.6999999999999993</v>
      </c>
    </row>
    <row r="159" spans="1:8" ht="15" hidden="1" customHeight="1">
      <c r="A159" s="369"/>
      <c r="B159" s="370"/>
      <c r="C159" s="370"/>
      <c r="D159" s="370"/>
      <c r="E159" s="370"/>
      <c r="F159" s="398"/>
    </row>
    <row r="160" spans="1:8" ht="15" hidden="1" customHeight="1">
      <c r="A160" s="340" t="s">
        <v>101</v>
      </c>
      <c r="B160" s="332" t="s">
        <v>210</v>
      </c>
      <c r="C160" s="332"/>
      <c r="D160" s="341"/>
      <c r="E160" s="341"/>
      <c r="F160" s="342" t="s">
        <v>246</v>
      </c>
    </row>
    <row r="161" spans="1:8" ht="15" hidden="1" customHeight="1">
      <c r="A161" s="343" t="s">
        <v>102</v>
      </c>
      <c r="B161" s="343" t="s">
        <v>103</v>
      </c>
      <c r="C161" s="343" t="s">
        <v>104</v>
      </c>
      <c r="D161" s="343" t="s">
        <v>105</v>
      </c>
      <c r="E161" s="343" t="s">
        <v>106</v>
      </c>
      <c r="F161" s="344" t="s">
        <v>205</v>
      </c>
    </row>
    <row r="162" spans="1:8" ht="15" hidden="1" customHeight="1">
      <c r="A162" s="160" t="s">
        <v>206</v>
      </c>
      <c r="B162" s="160" t="s">
        <v>207</v>
      </c>
      <c r="C162" s="159">
        <v>44503</v>
      </c>
      <c r="D162" s="160" t="s">
        <v>208</v>
      </c>
      <c r="E162" s="160" t="s">
        <v>209</v>
      </c>
      <c r="F162" s="345">
        <v>250</v>
      </c>
    </row>
    <row r="163" spans="1:8" ht="15" hidden="1" customHeight="1">
      <c r="A163" s="205" t="s">
        <v>107</v>
      </c>
      <c r="B163" s="204">
        <v>44503</v>
      </c>
      <c r="C163" s="206"/>
      <c r="D163" s="883" t="s">
        <v>245</v>
      </c>
      <c r="E163" s="883"/>
      <c r="F163" s="346">
        <v>250</v>
      </c>
    </row>
    <row r="164" spans="1:8" ht="15" hidden="1" customHeight="1">
      <c r="A164" s="373"/>
      <c r="B164" s="374"/>
      <c r="C164" s="374"/>
      <c r="D164" s="374"/>
      <c r="E164" s="374"/>
      <c r="F164" s="399"/>
    </row>
    <row r="165" spans="1:8" ht="15" hidden="1" customHeight="1">
      <c r="A165" s="382" t="s">
        <v>101</v>
      </c>
      <c r="B165" s="882" t="s">
        <v>354</v>
      </c>
      <c r="C165" s="882"/>
      <c r="D165" s="341"/>
      <c r="E165" s="341"/>
      <c r="F165" s="342" t="s">
        <v>270</v>
      </c>
    </row>
    <row r="166" spans="1:8" ht="15" hidden="1" customHeight="1">
      <c r="A166" s="379" t="s">
        <v>102</v>
      </c>
      <c r="B166" s="379" t="s">
        <v>103</v>
      </c>
      <c r="C166" s="379" t="s">
        <v>104</v>
      </c>
      <c r="D166" s="379" t="s">
        <v>105</v>
      </c>
      <c r="E166" s="379" t="s">
        <v>106</v>
      </c>
      <c r="F166" s="344" t="s">
        <v>205</v>
      </c>
    </row>
    <row r="167" spans="1:8" ht="15" hidden="1" customHeight="1">
      <c r="A167" s="160" t="s">
        <v>271</v>
      </c>
      <c r="B167" s="160" t="s">
        <v>272</v>
      </c>
      <c r="C167" s="159">
        <v>44503</v>
      </c>
      <c r="D167" s="160" t="s">
        <v>355</v>
      </c>
      <c r="E167" s="160" t="s">
        <v>274</v>
      </c>
      <c r="F167" s="380">
        <v>42</v>
      </c>
      <c r="G167" s="367"/>
      <c r="H167" s="367"/>
    </row>
    <row r="168" spans="1:8" ht="15" hidden="1" customHeight="1">
      <c r="A168" s="160" t="s">
        <v>275</v>
      </c>
      <c r="B168" s="160" t="s">
        <v>276</v>
      </c>
      <c r="C168" s="159">
        <v>44503</v>
      </c>
      <c r="D168" s="160" t="s">
        <v>356</v>
      </c>
      <c r="E168" s="378" t="s">
        <v>278</v>
      </c>
      <c r="F168" s="380">
        <v>38</v>
      </c>
      <c r="H168" s="21" t="s">
        <v>357</v>
      </c>
    </row>
    <row r="169" spans="1:8" ht="15" hidden="1" customHeight="1">
      <c r="A169" s="160" t="s">
        <v>279</v>
      </c>
      <c r="B169" s="160" t="s">
        <v>280</v>
      </c>
      <c r="C169" s="159">
        <v>44503</v>
      </c>
      <c r="D169" s="160" t="s">
        <v>358</v>
      </c>
      <c r="E169" s="378" t="s">
        <v>282</v>
      </c>
      <c r="F169" s="380">
        <v>36</v>
      </c>
      <c r="G169" s="372"/>
    </row>
    <row r="170" spans="1:8" hidden="1">
      <c r="A170" s="382" t="s">
        <v>101</v>
      </c>
      <c r="B170" s="882" t="s">
        <v>359</v>
      </c>
      <c r="C170" s="882"/>
      <c r="D170" s="341"/>
      <c r="E170" s="341"/>
      <c r="F170" s="342" t="s">
        <v>298</v>
      </c>
    </row>
    <row r="171" spans="1:8" ht="30" hidden="1">
      <c r="A171" s="379" t="s">
        <v>102</v>
      </c>
      <c r="B171" s="379" t="s">
        <v>103</v>
      </c>
      <c r="C171" s="379" t="s">
        <v>104</v>
      </c>
      <c r="D171" s="379" t="s">
        <v>105</v>
      </c>
      <c r="E171" s="379" t="s">
        <v>106</v>
      </c>
      <c r="F171" s="344" t="s">
        <v>205</v>
      </c>
    </row>
    <row r="172" spans="1:8" hidden="1">
      <c r="A172" s="160" t="s">
        <v>311</v>
      </c>
      <c r="B172" s="160" t="s">
        <v>312</v>
      </c>
      <c r="C172" s="159">
        <v>45149</v>
      </c>
      <c r="D172" s="160" t="s">
        <v>313</v>
      </c>
      <c r="E172" s="160" t="s">
        <v>314</v>
      </c>
      <c r="F172" s="393">
        <v>65</v>
      </c>
      <c r="G172" s="367"/>
      <c r="H172" s="367"/>
    </row>
    <row r="173" spans="1:8" hidden="1">
      <c r="A173" s="160" t="s">
        <v>365</v>
      </c>
      <c r="B173" s="160" t="s">
        <v>35</v>
      </c>
      <c r="C173" s="159">
        <v>45149</v>
      </c>
      <c r="D173" s="160" t="s">
        <v>366</v>
      </c>
      <c r="E173" s="160" t="s">
        <v>367</v>
      </c>
      <c r="F173" s="393">
        <v>110</v>
      </c>
    </row>
    <row r="174" spans="1:8" hidden="1">
      <c r="A174" s="160" t="s">
        <v>360</v>
      </c>
      <c r="B174" s="160" t="s">
        <v>327</v>
      </c>
      <c r="C174" s="159">
        <v>45149</v>
      </c>
      <c r="D174" s="160" t="s">
        <v>361</v>
      </c>
      <c r="E174" s="160" t="s">
        <v>362</v>
      </c>
      <c r="F174" s="393">
        <v>35</v>
      </c>
      <c r="G174" s="372"/>
    </row>
    <row r="175" spans="1:8" hidden="1">
      <c r="A175" s="356" t="s">
        <v>107</v>
      </c>
      <c r="B175" s="204">
        <v>45149</v>
      </c>
      <c r="C175" s="357"/>
      <c r="D175" s="883" t="s">
        <v>245</v>
      </c>
      <c r="E175" s="883"/>
      <c r="F175" s="381">
        <f>TRUNC(MEDIAN(F171:F174),2)</f>
        <v>65</v>
      </c>
    </row>
    <row r="176" spans="1:8" hidden="1">
      <c r="A176" s="358"/>
      <c r="B176" s="250"/>
      <c r="C176" s="250"/>
      <c r="D176" s="250"/>
      <c r="E176" s="250"/>
      <c r="F176" s="395"/>
    </row>
    <row r="177" spans="1:6" s="5" customFormat="1" hidden="1">
      <c r="A177" s="340" t="s">
        <v>101</v>
      </c>
      <c r="B177" s="332" t="s">
        <v>210</v>
      </c>
      <c r="C177" s="332"/>
      <c r="D177" s="341"/>
      <c r="E177" s="341"/>
      <c r="F177" s="342" t="s">
        <v>246</v>
      </c>
    </row>
    <row r="178" spans="1:6" ht="30" hidden="1">
      <c r="A178" s="343" t="s">
        <v>102</v>
      </c>
      <c r="B178" s="343" t="s">
        <v>103</v>
      </c>
      <c r="C178" s="343" t="s">
        <v>104</v>
      </c>
      <c r="D178" s="343" t="s">
        <v>105</v>
      </c>
      <c r="E178" s="343" t="s">
        <v>106</v>
      </c>
      <c r="F178" s="344" t="s">
        <v>205</v>
      </c>
    </row>
    <row r="179" spans="1:6" hidden="1">
      <c r="A179" s="160" t="s">
        <v>206</v>
      </c>
      <c r="B179" s="160" t="s">
        <v>207</v>
      </c>
      <c r="C179" s="159">
        <v>44503</v>
      </c>
      <c r="D179" s="160" t="s">
        <v>208</v>
      </c>
      <c r="E179" s="160" t="s">
        <v>209</v>
      </c>
      <c r="F179" s="345">
        <v>250</v>
      </c>
    </row>
    <row r="180" spans="1:6" hidden="1">
      <c r="A180" s="205" t="s">
        <v>107</v>
      </c>
      <c r="B180" s="204">
        <v>45148</v>
      </c>
      <c r="C180" s="206"/>
      <c r="D180" s="883" t="s">
        <v>245</v>
      </c>
      <c r="E180" s="883"/>
      <c r="F180" s="346">
        <v>250</v>
      </c>
    </row>
  </sheetData>
  <mergeCells count="38">
    <mergeCell ref="D180:E180"/>
    <mergeCell ref="B1:F1"/>
    <mergeCell ref="B2:C2"/>
    <mergeCell ref="D2:E2"/>
    <mergeCell ref="D3:E3"/>
    <mergeCell ref="B3:C3"/>
    <mergeCell ref="D46:E46"/>
    <mergeCell ref="D55:E55"/>
    <mergeCell ref="D65:E65"/>
    <mergeCell ref="B67:C67"/>
    <mergeCell ref="D76:E76"/>
    <mergeCell ref="B78:C78"/>
    <mergeCell ref="D87:E87"/>
    <mergeCell ref="B89:C89"/>
    <mergeCell ref="D98:E98"/>
    <mergeCell ref="B100:C100"/>
    <mergeCell ref="A1:A3"/>
    <mergeCell ref="D12:E12"/>
    <mergeCell ref="D21:E21"/>
    <mergeCell ref="D30:E30"/>
    <mergeCell ref="D39:E39"/>
    <mergeCell ref="D109:E109"/>
    <mergeCell ref="B111:C111"/>
    <mergeCell ref="D120:E120"/>
    <mergeCell ref="B122:C122"/>
    <mergeCell ref="D130:E130"/>
    <mergeCell ref="B132:C132"/>
    <mergeCell ref="D137:E137"/>
    <mergeCell ref="B139:C139"/>
    <mergeCell ref="D144:E144"/>
    <mergeCell ref="B146:C146"/>
    <mergeCell ref="B170:C170"/>
    <mergeCell ref="D175:E175"/>
    <mergeCell ref="D151:E151"/>
    <mergeCell ref="B153:C153"/>
    <mergeCell ref="D158:E158"/>
    <mergeCell ref="D163:E163"/>
    <mergeCell ref="B165:C165"/>
  </mergeCells>
  <printOptions horizontalCentered="1"/>
  <pageMargins left="0.78740157480314965" right="0.78740157480314965" top="0.98425196850393704" bottom="0.78740157480314965" header="0.31496062992125984" footer="0.19685039370078741"/>
  <pageSetup paperSize="9" scale="84" orientation="landscape" r:id="rId1"/>
  <headerFooter>
    <oddFooter>&amp;CEng° Darcio Pagani Vieira
Crea/SC - 077.222-9</oddFooter>
  </headerFooter>
  <colBreaks count="1" manualBreakCount="1">
    <brk id="7" max="110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view="pageBreakPreview" zoomScaleNormal="55" zoomScaleSheetLayoutView="100" workbookViewId="0">
      <pane ySplit="5" topLeftCell="A6" activePane="bottomLeft" state="frozen"/>
      <selection activeCell="C26" sqref="C26"/>
      <selection pane="bottomLeft" activeCell="E6" sqref="E6"/>
    </sheetView>
  </sheetViews>
  <sheetFormatPr defaultRowHeight="15"/>
  <cols>
    <col min="1" max="1" width="17.28515625" style="173" customWidth="1"/>
    <col min="2" max="2" width="36.42578125" style="173" bestFit="1" customWidth="1"/>
    <col min="3" max="4" width="20" style="228" customWidth="1"/>
    <col min="5" max="5" width="23.42578125" style="228" customWidth="1"/>
    <col min="6" max="6" width="12.140625" style="226" bestFit="1" customWidth="1"/>
    <col min="7" max="7" width="8.7109375" style="173" bestFit="1" customWidth="1"/>
    <col min="8" max="8" width="12.28515625" style="173" bestFit="1" customWidth="1"/>
    <col min="9" max="9" width="12.7109375" style="173" bestFit="1" customWidth="1"/>
    <col min="10" max="10" width="16.42578125" style="173" bestFit="1" customWidth="1"/>
    <col min="11" max="16384" width="9.140625" style="173"/>
  </cols>
  <sheetData>
    <row r="1" spans="1:9" ht="35.25" customHeight="1">
      <c r="A1" s="612"/>
      <c r="B1" s="889" t="s">
        <v>170</v>
      </c>
      <c r="C1" s="890"/>
      <c r="D1" s="890"/>
      <c r="E1" s="891"/>
      <c r="F1" s="222"/>
    </row>
    <row r="2" spans="1:9">
      <c r="A2" s="612"/>
      <c r="B2" s="313" t="str">
        <f>PAVIM.!$G$2</f>
        <v>PREFEITURA MUNICIPAL DE MARACAJÁ</v>
      </c>
      <c r="C2" s="646" t="str">
        <f>PAVIM.!$H$2</f>
        <v>BAIRRO: ESPIGÃO GRANDE</v>
      </c>
      <c r="D2" s="646"/>
      <c r="E2" s="314" t="str">
        <f>PAVIM.!$K$2</f>
        <v>MUNICIPIO: MARACAJÁ</v>
      </c>
      <c r="F2" s="223"/>
    </row>
    <row r="3" spans="1:9">
      <c r="A3" s="612"/>
      <c r="B3" s="315" t="str">
        <f>PAVIM.!G3</f>
        <v>RUA PARANÁ - TRECHO 01</v>
      </c>
      <c r="C3" s="648" t="str">
        <f>PAVIM.!$M$2</f>
        <v>ESTADO: SANTA CATARINA</v>
      </c>
      <c r="D3" s="648"/>
      <c r="E3" s="316" t="str">
        <f ca="1">PAVIM.!$M$3</f>
        <v>DATA: 12/08/26</v>
      </c>
      <c r="F3" s="223"/>
    </row>
    <row r="4" spans="1:9">
      <c r="A4" s="9"/>
      <c r="B4" s="10"/>
      <c r="C4" s="12"/>
      <c r="D4" s="12"/>
      <c r="E4" s="142"/>
      <c r="F4" s="223"/>
    </row>
    <row r="5" spans="1:9" ht="15.75" customHeight="1">
      <c r="A5" s="401" t="s">
        <v>169</v>
      </c>
      <c r="B5" s="347" t="s">
        <v>168</v>
      </c>
      <c r="C5" s="348">
        <v>45839</v>
      </c>
      <c r="D5" s="348">
        <v>46054</v>
      </c>
      <c r="E5" s="401" t="s">
        <v>133</v>
      </c>
      <c r="F5" s="224"/>
    </row>
    <row r="6" spans="1:9" s="5" customFormat="1">
      <c r="A6" s="146" t="s">
        <v>171</v>
      </c>
      <c r="B6" s="145" t="s">
        <v>135</v>
      </c>
      <c r="C6" s="146">
        <v>590.23900000000003</v>
      </c>
      <c r="D6" s="146">
        <v>593.03</v>
      </c>
      <c r="E6" s="147">
        <f>D6/C6</f>
        <v>1.0047285929936856</v>
      </c>
      <c r="F6" s="224"/>
    </row>
    <row r="7" spans="1:9">
      <c r="A7" s="146" t="s">
        <v>172</v>
      </c>
      <c r="B7" s="145" t="s">
        <v>134</v>
      </c>
      <c r="C7" s="146">
        <v>491.27800000000002</v>
      </c>
      <c r="D7" s="146">
        <v>496.45699999999999</v>
      </c>
      <c r="E7" s="147">
        <f t="shared" ref="E7" si="0">D7/C7</f>
        <v>1.0105418927776126</v>
      </c>
      <c r="F7" s="225"/>
    </row>
    <row r="8" spans="1:9">
      <c r="A8" s="146" t="s">
        <v>173</v>
      </c>
      <c r="B8" s="145" t="s">
        <v>136</v>
      </c>
      <c r="C8" s="146">
        <v>272.13</v>
      </c>
      <c r="D8" s="2">
        <v>275.68</v>
      </c>
      <c r="E8" s="147">
        <f t="shared" ref="E8" si="1">D8/C8</f>
        <v>1.0130452357329218</v>
      </c>
      <c r="F8" s="225"/>
    </row>
    <row r="9" spans="1:9">
      <c r="A9" s="8"/>
      <c r="B9" s="7"/>
      <c r="C9" s="8"/>
      <c r="D9" s="8"/>
      <c r="E9" s="8"/>
      <c r="F9" s="223"/>
      <c r="G9" s="174"/>
      <c r="H9" s="174"/>
      <c r="I9" s="174"/>
    </row>
    <row r="10" spans="1:9">
      <c r="A10" s="8"/>
      <c r="B10" s="7"/>
      <c r="C10" s="8"/>
      <c r="D10" s="8"/>
      <c r="E10" s="8"/>
      <c r="F10" s="223"/>
      <c r="G10" s="174"/>
      <c r="H10" s="174"/>
      <c r="I10" s="174"/>
    </row>
    <row r="11" spans="1:9">
      <c r="A11" s="8"/>
      <c r="B11" s="7"/>
      <c r="C11" s="8"/>
      <c r="D11" s="8"/>
      <c r="E11" s="8"/>
      <c r="F11" s="223"/>
      <c r="G11" s="174"/>
      <c r="H11" s="174"/>
      <c r="I11" s="174"/>
    </row>
    <row r="12" spans="1:9">
      <c r="A12" s="8"/>
      <c r="B12" s="7"/>
      <c r="C12" s="8"/>
      <c r="D12" s="8"/>
      <c r="E12" s="8"/>
      <c r="F12" s="223"/>
      <c r="G12" s="174"/>
      <c r="H12" s="174"/>
      <c r="I12" s="174"/>
    </row>
    <row r="13" spans="1:9">
      <c r="A13" s="8"/>
      <c r="B13" s="7"/>
      <c r="C13" s="8"/>
      <c r="D13" s="8"/>
      <c r="E13" s="8"/>
      <c r="F13" s="223"/>
      <c r="G13" s="174"/>
      <c r="H13" s="174"/>
      <c r="I13" s="174"/>
    </row>
    <row r="14" spans="1:9">
      <c r="A14" s="8"/>
      <c r="B14" s="7"/>
      <c r="C14" s="8"/>
      <c r="D14" s="8"/>
      <c r="E14" s="8"/>
      <c r="F14" s="223"/>
      <c r="G14" s="174"/>
      <c r="H14" s="174"/>
      <c r="I14" s="174"/>
    </row>
    <row r="15" spans="1:9">
      <c r="A15" s="8"/>
      <c r="B15" s="7"/>
      <c r="C15" s="8"/>
      <c r="D15" s="8"/>
      <c r="E15" s="8"/>
      <c r="F15" s="223"/>
      <c r="G15" s="174"/>
      <c r="H15" s="174"/>
      <c r="I15" s="174"/>
    </row>
    <row r="16" spans="1:9">
      <c r="A16" s="8"/>
      <c r="B16" s="7"/>
      <c r="C16" s="8"/>
      <c r="D16" s="8"/>
      <c r="E16" s="8"/>
      <c r="F16" s="223"/>
      <c r="G16" s="174"/>
      <c r="H16" s="174"/>
      <c r="I16" s="174"/>
    </row>
    <row r="17" spans="1:9">
      <c r="A17" s="8"/>
      <c r="B17" s="7"/>
      <c r="C17" s="8"/>
      <c r="D17" s="8"/>
      <c r="E17" s="8"/>
      <c r="F17" s="223"/>
      <c r="G17" s="174"/>
      <c r="H17" s="174"/>
      <c r="I17" s="174"/>
    </row>
    <row r="18" spans="1:9">
      <c r="A18" s="8"/>
      <c r="B18" s="7"/>
      <c r="C18" s="8"/>
      <c r="D18" s="8"/>
      <c r="E18" s="8"/>
      <c r="F18" s="223"/>
      <c r="G18" s="174"/>
      <c r="H18" s="174"/>
      <c r="I18" s="174"/>
    </row>
    <row r="19" spans="1:9">
      <c r="A19" s="8"/>
      <c r="B19" s="7"/>
      <c r="C19" s="8"/>
      <c r="D19" s="8"/>
      <c r="E19" s="8"/>
      <c r="F19" s="223"/>
      <c r="G19" s="174"/>
      <c r="H19" s="174"/>
      <c r="I19" s="174"/>
    </row>
    <row r="20" spans="1:9">
      <c r="A20" s="8"/>
      <c r="B20" s="7"/>
      <c r="C20" s="8"/>
      <c r="D20" s="8"/>
      <c r="E20" s="8"/>
      <c r="F20" s="223"/>
      <c r="G20" s="174"/>
      <c r="H20" s="174"/>
      <c r="I20" s="174"/>
    </row>
    <row r="21" spans="1:9">
      <c r="A21" s="8"/>
      <c r="B21" s="7"/>
      <c r="C21" s="8"/>
      <c r="D21" s="8"/>
      <c r="E21" s="8"/>
      <c r="F21" s="223"/>
      <c r="G21" s="174"/>
      <c r="H21" s="174"/>
      <c r="I21" s="174"/>
    </row>
    <row r="22" spans="1:9">
      <c r="A22" s="8"/>
      <c r="B22" s="7"/>
      <c r="C22" s="8"/>
      <c r="D22" s="8"/>
      <c r="E22" s="8"/>
      <c r="F22" s="223"/>
      <c r="G22" s="174"/>
      <c r="H22" s="174"/>
      <c r="I22" s="174"/>
    </row>
    <row r="23" spans="1:9">
      <c r="A23" s="8"/>
      <c r="B23" s="7"/>
      <c r="C23" s="8"/>
      <c r="D23" s="8"/>
      <c r="E23" s="8"/>
      <c r="F23" s="223"/>
      <c r="G23" s="174"/>
      <c r="H23" s="174"/>
      <c r="I23" s="174"/>
    </row>
    <row r="24" spans="1:9">
      <c r="A24" s="8"/>
      <c r="B24" s="7"/>
      <c r="C24" s="8"/>
      <c r="D24" s="8"/>
      <c r="E24" s="8"/>
      <c r="F24" s="223"/>
      <c r="G24" s="174"/>
      <c r="H24" s="174"/>
      <c r="I24" s="174"/>
    </row>
    <row r="25" spans="1:9">
      <c r="A25" s="8"/>
      <c r="B25" s="7"/>
      <c r="C25" s="8"/>
      <c r="D25" s="8"/>
      <c r="E25" s="8"/>
      <c r="F25" s="223"/>
      <c r="G25" s="174"/>
      <c r="H25" s="174"/>
      <c r="I25" s="174"/>
    </row>
    <row r="26" spans="1:9">
      <c r="A26" s="8"/>
      <c r="B26" s="7"/>
      <c r="C26" s="8"/>
      <c r="D26" s="8"/>
      <c r="E26" s="8"/>
      <c r="F26" s="223"/>
      <c r="G26" s="174"/>
      <c r="H26" s="174"/>
      <c r="I26" s="174"/>
    </row>
    <row r="27" spans="1:9">
      <c r="A27" s="8"/>
      <c r="B27" s="7"/>
      <c r="C27" s="8"/>
      <c r="D27" s="8"/>
      <c r="E27" s="8"/>
      <c r="F27" s="223"/>
      <c r="G27" s="174"/>
      <c r="H27" s="174"/>
      <c r="I27" s="174"/>
    </row>
    <row r="28" spans="1:9">
      <c r="A28" s="8"/>
      <c r="B28" s="7"/>
      <c r="C28" s="8"/>
      <c r="D28" s="8"/>
      <c r="E28" s="8"/>
      <c r="F28" s="223"/>
      <c r="G28" s="174"/>
      <c r="H28" s="174"/>
      <c r="I28" s="174"/>
    </row>
    <row r="29" spans="1:9">
      <c r="A29" s="8"/>
      <c r="B29" s="7"/>
      <c r="C29" s="8"/>
      <c r="D29" s="8"/>
      <c r="E29" s="8"/>
      <c r="F29" s="223"/>
      <c r="G29" s="174"/>
      <c r="H29" s="174"/>
      <c r="I29" s="174"/>
    </row>
    <row r="30" spans="1:9">
      <c r="A30" s="8"/>
      <c r="B30" s="7"/>
      <c r="C30" s="8"/>
      <c r="D30" s="8"/>
      <c r="E30" s="8"/>
      <c r="F30" s="223"/>
      <c r="G30" s="174"/>
      <c r="H30" s="174"/>
      <c r="I30" s="174"/>
    </row>
    <row r="31" spans="1:9">
      <c r="A31" s="8"/>
      <c r="B31" s="7"/>
      <c r="C31" s="8"/>
      <c r="D31" s="8"/>
      <c r="E31" s="8"/>
      <c r="F31" s="223"/>
      <c r="G31" s="174"/>
      <c r="H31" s="174"/>
      <c r="I31" s="174"/>
    </row>
    <row r="32" spans="1:9">
      <c r="A32" s="8"/>
      <c r="B32" s="7"/>
      <c r="C32" s="8"/>
      <c r="D32" s="8"/>
      <c r="E32" s="8"/>
      <c r="F32" s="223"/>
      <c r="G32" s="174"/>
      <c r="H32" s="174"/>
      <c r="I32" s="174"/>
    </row>
    <row r="33" spans="1:9">
      <c r="A33" s="8"/>
      <c r="B33" s="7"/>
      <c r="C33" s="8"/>
      <c r="D33" s="8"/>
      <c r="E33" s="8"/>
      <c r="F33" s="223"/>
      <c r="G33" s="174"/>
      <c r="H33" s="174"/>
      <c r="I33" s="174"/>
    </row>
    <row r="34" spans="1:9">
      <c r="A34" s="8"/>
      <c r="B34" s="7"/>
      <c r="C34" s="8"/>
      <c r="D34" s="8"/>
      <c r="E34" s="8"/>
      <c r="F34" s="223"/>
      <c r="G34" s="174"/>
      <c r="H34" s="174"/>
      <c r="I34" s="174"/>
    </row>
    <row r="35" spans="1:9">
      <c r="A35" s="7"/>
      <c r="B35" s="7"/>
      <c r="C35" s="8"/>
      <c r="D35" s="8"/>
      <c r="E35" s="8"/>
      <c r="F35" s="223"/>
      <c r="G35" s="174"/>
      <c r="H35" s="174"/>
      <c r="I35" s="174"/>
    </row>
    <row r="36" spans="1:9">
      <c r="A36" s="7"/>
      <c r="B36" s="7"/>
      <c r="C36" s="8"/>
      <c r="D36" s="8"/>
      <c r="E36" s="8"/>
      <c r="F36" s="223"/>
    </row>
    <row r="37" spans="1:9">
      <c r="A37" s="7"/>
      <c r="B37" s="7"/>
      <c r="C37" s="8"/>
      <c r="D37" s="8"/>
      <c r="E37" s="8"/>
      <c r="F37" s="223"/>
    </row>
    <row r="38" spans="1:9">
      <c r="A38" s="7"/>
      <c r="B38" s="7"/>
      <c r="C38" s="8"/>
      <c r="D38" s="24"/>
      <c r="E38" s="312"/>
      <c r="F38" s="223"/>
    </row>
    <row r="39" spans="1:9">
      <c r="A39" s="7"/>
      <c r="B39" s="7"/>
      <c r="C39" s="8"/>
      <c r="D39" s="8"/>
      <c r="E39" s="8"/>
      <c r="F39" s="227"/>
    </row>
    <row r="40" spans="1:9" s="175" customFormat="1">
      <c r="A40" s="173"/>
      <c r="B40" s="173"/>
      <c r="C40" s="228"/>
      <c r="D40" s="228"/>
      <c r="E40" s="228"/>
      <c r="F40" s="223"/>
      <c r="G40" s="173"/>
      <c r="H40" s="173"/>
      <c r="I40" s="173"/>
    </row>
    <row r="42" spans="1:9" s="175" customFormat="1">
      <c r="A42" s="173"/>
      <c r="B42" s="173"/>
      <c r="C42" s="228"/>
      <c r="D42" s="228"/>
      <c r="E42" s="228"/>
      <c r="F42" s="226"/>
      <c r="G42" s="173"/>
      <c r="H42" s="173"/>
      <c r="I42" s="173"/>
    </row>
    <row r="43" spans="1:9" s="175" customFormat="1">
      <c r="A43" s="173"/>
      <c r="B43" s="173"/>
      <c r="C43" s="228"/>
      <c r="D43" s="228"/>
      <c r="E43" s="228"/>
      <c r="F43" s="226"/>
      <c r="G43" s="173"/>
      <c r="H43" s="173"/>
      <c r="I43" s="173"/>
    </row>
    <row r="44" spans="1:9" s="175" customFormat="1">
      <c r="A44" s="173"/>
      <c r="B44" s="173"/>
      <c r="C44" s="228"/>
      <c r="D44" s="228"/>
      <c r="E44" s="228"/>
      <c r="F44" s="226"/>
      <c r="G44" s="173"/>
      <c r="H44" s="173"/>
      <c r="I44" s="173"/>
    </row>
  </sheetData>
  <mergeCells count="4">
    <mergeCell ref="C2:D2"/>
    <mergeCell ref="C3:D3"/>
    <mergeCell ref="B1:E1"/>
    <mergeCell ref="A1:A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orientation="portrait" r:id="rId1"/>
  <headerFooter>
    <oddFooter>&amp;CEng° Darcio Pagani Vieira
Crea/SC - 077.222-9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view="pageBreakPreview" zoomScaleNormal="100" zoomScaleSheetLayoutView="100" workbookViewId="0">
      <selection activeCell="C19" sqref="C19"/>
    </sheetView>
  </sheetViews>
  <sheetFormatPr defaultRowHeight="15"/>
  <cols>
    <col min="1" max="1" width="16.42578125" style="173" customWidth="1"/>
    <col min="2" max="2" width="55.42578125" style="173" bestFit="1" customWidth="1"/>
    <col min="3" max="3" width="37.140625" style="173" customWidth="1"/>
    <col min="4" max="4" width="34.85546875" style="173" customWidth="1"/>
    <col min="5" max="5" width="25.28515625" style="173" customWidth="1"/>
    <col min="6" max="6" width="9.5703125" style="173" bestFit="1" customWidth="1"/>
    <col min="7" max="16384" width="9.140625" style="173"/>
  </cols>
  <sheetData>
    <row r="1" spans="1:6" ht="39" customHeight="1">
      <c r="A1" s="893" t="s">
        <v>267</v>
      </c>
      <c r="B1" s="892" t="s">
        <v>124</v>
      </c>
      <c r="C1" s="892"/>
      <c r="D1" s="892"/>
      <c r="E1" s="276"/>
    </row>
    <row r="2" spans="1:6" ht="15.75" customHeight="1">
      <c r="A2" s="894"/>
      <c r="B2" s="437" t="s">
        <v>13</v>
      </c>
      <c r="C2" s="438" t="str">
        <f>PAVIM.!H2</f>
        <v>BAIRRO: ESPIGÃO GRANDE</v>
      </c>
      <c r="D2" s="438" t="s">
        <v>211</v>
      </c>
      <c r="E2" s="277"/>
    </row>
    <row r="3" spans="1:6" ht="15.75">
      <c r="A3" s="895"/>
      <c r="B3" s="478" t="str">
        <f>PAVIM.!G3</f>
        <v>RUA PARANÁ - TRECHO 01</v>
      </c>
      <c r="C3" s="466" t="s">
        <v>113</v>
      </c>
      <c r="D3" s="479" t="str">
        <f ca="1">PAVIM.!M3</f>
        <v>DATA: 12/08/26</v>
      </c>
      <c r="E3" s="278"/>
    </row>
    <row r="4" spans="1:6" ht="15.75">
      <c r="A4" s="274"/>
      <c r="B4" s="273"/>
      <c r="C4" s="77"/>
      <c r="D4" s="77"/>
      <c r="E4" s="275"/>
    </row>
    <row r="5" spans="1:6" ht="41.25" customHeight="1">
      <c r="A5" s="272" t="s">
        <v>125</v>
      </c>
      <c r="B5" s="910" t="s">
        <v>126</v>
      </c>
      <c r="C5" s="911"/>
      <c r="D5" s="911"/>
      <c r="E5" s="912"/>
    </row>
    <row r="6" spans="1:6" ht="18.75" customHeight="1">
      <c r="A6" s="349" t="s">
        <v>127</v>
      </c>
      <c r="B6" s="902" t="s">
        <v>128</v>
      </c>
      <c r="C6" s="903"/>
      <c r="D6" s="350" t="s">
        <v>248</v>
      </c>
      <c r="E6" s="351" t="s">
        <v>129</v>
      </c>
    </row>
    <row r="7" spans="1:6" ht="18.75" customHeight="1">
      <c r="A7" s="352">
        <v>46054</v>
      </c>
      <c r="B7" s="904" t="s">
        <v>130</v>
      </c>
      <c r="C7" s="905"/>
      <c r="D7" s="270" t="s">
        <v>249</v>
      </c>
      <c r="E7" s="411">
        <v>2.3131455540472614</v>
      </c>
      <c r="F7" s="78"/>
    </row>
    <row r="8" spans="1:6" ht="18.75" customHeight="1">
      <c r="A8" s="353">
        <v>46054</v>
      </c>
      <c r="B8" s="906" t="s">
        <v>261</v>
      </c>
      <c r="C8" s="907"/>
      <c r="D8" s="143" t="s">
        <v>249</v>
      </c>
      <c r="E8" s="412">
        <v>2.3253469125767268</v>
      </c>
    </row>
    <row r="9" spans="1:6" ht="18.75" customHeight="1">
      <c r="A9" s="354">
        <v>46054</v>
      </c>
      <c r="B9" s="908" t="s">
        <v>167</v>
      </c>
      <c r="C9" s="909"/>
      <c r="D9" s="271" t="s">
        <v>249</v>
      </c>
      <c r="E9" s="413">
        <v>3.1767926582560078</v>
      </c>
    </row>
    <row r="10" spans="1:6" ht="18.75" customHeight="1">
      <c r="A10" s="896" t="s">
        <v>131</v>
      </c>
      <c r="B10" s="897"/>
      <c r="C10" s="897"/>
      <c r="D10" s="897"/>
      <c r="E10" s="898"/>
    </row>
    <row r="11" spans="1:6" s="79" customFormat="1" ht="18.75" customHeight="1">
      <c r="A11" s="899" t="s">
        <v>266</v>
      </c>
      <c r="B11" s="900"/>
      <c r="C11" s="900"/>
      <c r="D11" s="900"/>
      <c r="E11" s="901"/>
    </row>
    <row r="12" spans="1:6">
      <c r="A12" s="13"/>
      <c r="B12" s="13"/>
      <c r="C12" s="13"/>
      <c r="D12" s="13"/>
      <c r="E12" s="13"/>
    </row>
    <row r="13" spans="1:6">
      <c r="A13" s="7"/>
      <c r="B13" s="7"/>
      <c r="C13" s="7"/>
      <c r="D13" s="7"/>
      <c r="E13" s="7"/>
    </row>
    <row r="14" spans="1:6">
      <c r="A14" s="7"/>
      <c r="B14" s="7"/>
      <c r="C14" s="7"/>
      <c r="D14" s="7"/>
      <c r="E14" s="7"/>
    </row>
    <row r="15" spans="1:6">
      <c r="A15" s="7"/>
      <c r="B15" s="7"/>
      <c r="C15" s="7"/>
      <c r="D15" s="7"/>
      <c r="E15" s="7"/>
    </row>
    <row r="16" spans="1:6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</sheetData>
  <mergeCells count="9">
    <mergeCell ref="B1:D1"/>
    <mergeCell ref="A1:A3"/>
    <mergeCell ref="A10:E10"/>
    <mergeCell ref="A11:E11"/>
    <mergeCell ref="B6:C6"/>
    <mergeCell ref="B7:C7"/>
    <mergeCell ref="B8:C8"/>
    <mergeCell ref="B9:C9"/>
    <mergeCell ref="B5:E5"/>
  </mergeCells>
  <hyperlinks>
    <hyperlink ref="A11" r:id="rId1" display="http://www.anp.gov.br/precos-e-defesa-da-concorrencia/precos/precos-de-distribuicao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horizontalDpi="300" verticalDpi="300" r:id="rId2"/>
  <headerFooter>
    <oddFooter>&amp;CEng° Darcio Pagani Vieira
Crea/SC - 077.222-9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21</vt:i4>
      </vt:variant>
    </vt:vector>
  </HeadingPairs>
  <TitlesOfParts>
    <vt:vector size="37" baseType="lpstr">
      <vt:lpstr>ORÇAMENTO</vt:lpstr>
      <vt:lpstr>CRONOG</vt:lpstr>
      <vt:lpstr>QCI</vt:lpstr>
      <vt:lpstr>CRONOGRAMA</vt:lpstr>
      <vt:lpstr>TERRAPL.</vt:lpstr>
      <vt:lpstr>DIM. DREN.</vt:lpstr>
      <vt:lpstr>BACIAS</vt:lpstr>
      <vt:lpstr>DRENAGEM</vt:lpstr>
      <vt:lpstr>PAVIM.</vt:lpstr>
      <vt:lpstr>OBRAS COMPLEMENTARES</vt:lpstr>
      <vt:lpstr>SINALIZAÇÃO</vt:lpstr>
      <vt:lpstr>BDI</vt:lpstr>
      <vt:lpstr>COMP. SINAPI</vt:lpstr>
      <vt:lpstr>COTAÇÃO</vt:lpstr>
      <vt:lpstr>REAJUSTE</vt:lpstr>
      <vt:lpstr>MAT. BET.</vt:lpstr>
      <vt:lpstr>BDI!Area_de_impressao</vt:lpstr>
      <vt:lpstr>'COMP. SINAPI'!Area_de_impressao</vt:lpstr>
      <vt:lpstr>COTAÇÃO!Area_de_impressao</vt:lpstr>
      <vt:lpstr>CRONOG!Area_de_impressao</vt:lpstr>
      <vt:lpstr>CRONOGRAMA!Area_de_impressao</vt:lpstr>
      <vt:lpstr>'DIM. DREN.'!Area_de_impressao</vt:lpstr>
      <vt:lpstr>DRENAGEM!Area_de_impressao</vt:lpstr>
      <vt:lpstr>'MAT. BET.'!Area_de_impressao</vt:lpstr>
      <vt:lpstr>'OBRAS COMPLEMENTARES'!Area_de_impressao</vt:lpstr>
      <vt:lpstr>ORÇAMENTO!Area_de_impressao</vt:lpstr>
      <vt:lpstr>QCI!Area_de_impressao</vt:lpstr>
      <vt:lpstr>REAJUSTE!Area_de_impressao</vt:lpstr>
      <vt:lpstr>TERRAPL.!Area_de_impressao</vt:lpstr>
      <vt:lpstr>'COMP. SINAPI'!Titulos_de_impressao</vt:lpstr>
      <vt:lpstr>COTAÇÃO!Titulos_de_impressao</vt:lpstr>
      <vt:lpstr>'DIM. DREN.'!Titulos_de_impressao</vt:lpstr>
      <vt:lpstr>DRENAGEM!Titulos_de_impressao</vt:lpstr>
      <vt:lpstr>'OBRAS COMPLEMENTARES'!Titulos_de_impressao</vt:lpstr>
      <vt:lpstr>PAVIM.!Titulos_de_impressao</vt:lpstr>
      <vt:lpstr>SINALIZAÇÃO!Titulos_de_impressao</vt:lpstr>
      <vt:lpstr>TERRAPL.!Titulos_de_impressao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vinicius mengue</cp:lastModifiedBy>
  <cp:lastPrinted>2026-08-12T10:20:56Z</cp:lastPrinted>
  <dcterms:created xsi:type="dcterms:W3CDTF">2018-05-07T18:41:35Z</dcterms:created>
  <dcterms:modified xsi:type="dcterms:W3CDTF">2026-08-12T10:21:08Z</dcterms:modified>
</cp:coreProperties>
</file>